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shg\Desktop\MyWorkouts Post\"/>
    </mc:Choice>
  </mc:AlternateContent>
  <xr:revisionPtr revIDLastSave="0" documentId="13_ncr:1_{AA5D687C-9B35-4F16-8A97-5B680712911C}" xr6:coauthVersionLast="47" xr6:coauthVersionMax="47" xr10:uidLastSave="{00000000-0000-0000-0000-000000000000}"/>
  <bookViews>
    <workbookView xWindow="-120" yWindow="-120" windowWidth="20730" windowHeight="11040" activeTab="2" xr2:uid="{C826169B-6EEE-4C0B-8B82-B39470EA1001}"/>
  </bookViews>
  <sheets>
    <sheet name="Workouts" sheetId="2" r:id="rId1"/>
    <sheet name="Workout Dashboard" sheetId="1" r:id="rId2"/>
    <sheet name="Instructions" sheetId="5" r:id="rId3"/>
    <sheet name="FilePath" sheetId="4" state="hidden" r:id="rId4"/>
  </sheets>
  <definedNames>
    <definedName name="ExternalData_1" localSheetId="0" hidden="1">Workouts!$A$1:$K$15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2" i="2" l="1"/>
  <c r="L3" i="2"/>
  <c r="L4" i="2"/>
  <c r="L5" i="2"/>
  <c r="L6" i="2"/>
  <c r="L7" i="2"/>
  <c r="L8" i="2"/>
  <c r="L9" i="2"/>
  <c r="L10" i="2"/>
  <c r="L11" i="2"/>
  <c r="L12" i="2"/>
  <c r="L13" i="2"/>
  <c r="L14" i="2"/>
  <c r="L15" i="2"/>
  <c r="M2" i="2"/>
  <c r="M3" i="2"/>
  <c r="M4" i="2"/>
  <c r="M5" i="2"/>
  <c r="M6" i="2"/>
  <c r="M7" i="2"/>
  <c r="M8" i="2"/>
  <c r="M9" i="2"/>
  <c r="M10" i="2"/>
  <c r="M11" i="2"/>
  <c r="M12" i="2"/>
  <c r="M13" i="2"/>
  <c r="M14" i="2"/>
  <c r="M15" i="2"/>
  <c r="N2" i="2"/>
  <c r="P2" i="2" s="1"/>
  <c r="N3" i="2"/>
  <c r="Q3" i="2" s="1"/>
  <c r="N4" i="2"/>
  <c r="P4" i="2" s="1"/>
  <c r="N5" i="2"/>
  <c r="O5" i="2" s="1"/>
  <c r="N6" i="2"/>
  <c r="Q6" i="2" s="1"/>
  <c r="N7" i="2"/>
  <c r="N8" i="2"/>
  <c r="N9" i="2"/>
  <c r="N10" i="2"/>
  <c r="O10" i="2" s="1"/>
  <c r="N11" i="2"/>
  <c r="Q11" i="2" s="1"/>
  <c r="N12" i="2"/>
  <c r="P12" i="2" s="1"/>
  <c r="N13" i="2"/>
  <c r="O13" i="2" s="1"/>
  <c r="N14" i="2"/>
  <c r="Q14" i="2" s="1"/>
  <c r="N15" i="2"/>
  <c r="O6" i="2"/>
  <c r="O7" i="2"/>
  <c r="O8" i="2"/>
  <c r="O9" i="2"/>
  <c r="O14" i="2"/>
  <c r="O15" i="2"/>
  <c r="P6" i="2"/>
  <c r="P7" i="2"/>
  <c r="P8" i="2"/>
  <c r="P9" i="2"/>
  <c r="P10" i="2"/>
  <c r="P14" i="2"/>
  <c r="P15" i="2"/>
  <c r="Q2" i="2"/>
  <c r="Q4" i="2"/>
  <c r="Q7" i="2"/>
  <c r="Q8" i="2"/>
  <c r="Q9" i="2"/>
  <c r="Q10" i="2"/>
  <c r="Q12" i="2"/>
  <c r="Q15" i="2"/>
  <c r="R2" i="2"/>
  <c r="Y9" i="2" s="1"/>
  <c r="R3" i="2"/>
  <c r="R4" i="2"/>
  <c r="R5" i="2"/>
  <c r="R6" i="2"/>
  <c r="R7" i="2"/>
  <c r="R8" i="2"/>
  <c r="R9" i="2"/>
  <c r="R10" i="2"/>
  <c r="R11" i="2"/>
  <c r="R12" i="2"/>
  <c r="R13" i="2"/>
  <c r="R14" i="2"/>
  <c r="R15" i="2"/>
  <c r="U2" i="2"/>
  <c r="U3" i="2"/>
  <c r="U4" i="2"/>
  <c r="U5" i="2"/>
  <c r="U6" i="2"/>
  <c r="U7" i="2"/>
  <c r="U8" i="2"/>
  <c r="U9" i="2"/>
  <c r="U10" i="2"/>
  <c r="U11" i="2"/>
  <c r="U12" i="2"/>
  <c r="U13" i="2"/>
  <c r="U14" i="2"/>
  <c r="U15" i="2"/>
  <c r="V2" i="2"/>
  <c r="V3" i="2"/>
  <c r="V4" i="2"/>
  <c r="V5" i="2"/>
  <c r="V6" i="2"/>
  <c r="V7" i="2"/>
  <c r="V8" i="2"/>
  <c r="V9" i="2"/>
  <c r="V10" i="2"/>
  <c r="V11" i="2"/>
  <c r="V12" i="2"/>
  <c r="V13" i="2"/>
  <c r="V14" i="2"/>
  <c r="V15" i="2"/>
  <c r="W2" i="2"/>
  <c r="W3" i="2"/>
  <c r="W4" i="2"/>
  <c r="W5" i="2"/>
  <c r="W6" i="2"/>
  <c r="W7" i="2"/>
  <c r="W8" i="2"/>
  <c r="W9" i="2"/>
  <c r="W10" i="2"/>
  <c r="W11" i="2"/>
  <c r="W12" i="2"/>
  <c r="W13" i="2"/>
  <c r="W14" i="2"/>
  <c r="W15" i="2"/>
  <c r="X2" i="2"/>
  <c r="X3" i="2"/>
  <c r="X4" i="2"/>
  <c r="X5" i="2"/>
  <c r="X6" i="2"/>
  <c r="X7" i="2"/>
  <c r="X8" i="2"/>
  <c r="X9" i="2"/>
  <c r="X10" i="2"/>
  <c r="X11" i="2"/>
  <c r="X12" i="2"/>
  <c r="X13" i="2"/>
  <c r="X14" i="2"/>
  <c r="X15" i="2"/>
  <c r="F3" i="1"/>
  <c r="Q5" i="2" l="1"/>
  <c r="Q13" i="2"/>
  <c r="P5" i="2"/>
  <c r="P13" i="2"/>
  <c r="O4" i="2"/>
  <c r="Y11" i="2"/>
  <c r="S6" i="2"/>
  <c r="O12" i="2"/>
  <c r="S13" i="2"/>
  <c r="T14" i="2"/>
  <c r="T6" i="2"/>
  <c r="S12" i="2"/>
  <c r="S4" i="2"/>
  <c r="Y15" i="2"/>
  <c r="Y7" i="2"/>
  <c r="T13" i="2"/>
  <c r="T5" i="2"/>
  <c r="S11" i="2"/>
  <c r="S3" i="2"/>
  <c r="O11" i="2"/>
  <c r="O3" i="2"/>
  <c r="S5" i="2"/>
  <c r="Y6" i="2"/>
  <c r="T12" i="2"/>
  <c r="T4" i="2"/>
  <c r="S10" i="2"/>
  <c r="S2" i="2"/>
  <c r="O2" i="2"/>
  <c r="T7" i="2"/>
  <c r="Y14" i="2"/>
  <c r="Y13" i="2"/>
  <c r="Y5" i="2"/>
  <c r="T11" i="2"/>
  <c r="T3" i="2"/>
  <c r="S9" i="2"/>
  <c r="P11" i="2"/>
  <c r="P3" i="2"/>
  <c r="Y8" i="2"/>
  <c r="Y12" i="2"/>
  <c r="T10" i="2"/>
  <c r="T2" i="2"/>
  <c r="S8" i="2"/>
  <c r="Y4" i="2"/>
  <c r="Y3" i="2"/>
  <c r="T9" i="2"/>
  <c r="S15" i="2"/>
  <c r="S7" i="2"/>
  <c r="T15" i="2"/>
  <c r="Y10" i="2"/>
  <c r="Y2" i="2"/>
  <c r="T8" i="2"/>
  <c r="S14" i="2"/>
  <c r="F2" i="1"/>
  <c r="B2" i="4"/>
  <c r="I3" i="1" l="1"/>
  <c r="I2" i="1"/>
  <c r="I4" i="1"/>
  <c r="AE2" i="2"/>
  <c r="AE3" i="2" l="1"/>
  <c r="AE4" i="2"/>
  <c r="C4" i="1" l="1"/>
  <c r="L4" i="1"/>
  <c r="M4" i="1" s="1"/>
  <c r="L3" i="1"/>
  <c r="M3" i="1" s="1"/>
  <c r="C3" i="1"/>
  <c r="F5" i="1" l="1"/>
  <c r="AD4" i="2"/>
  <c r="AC3" i="2"/>
  <c r="AC2" i="2"/>
  <c r="L2" i="1"/>
  <c r="C2" i="1"/>
  <c r="M2" i="1" l="1"/>
  <c r="AF2" i="2"/>
  <c r="O2" i="1" s="1"/>
  <c r="AF3" i="2"/>
  <c r="AF4" i="2"/>
  <c r="AC4" i="2"/>
  <c r="AD2" i="2"/>
  <c r="AD3" i="2"/>
  <c r="C5" i="1"/>
  <c r="F4" i="1" s="1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2DF630D4-C2AC-4280-9C37-F92696969D0C}" keepAlive="1" name="Query - MyWorkout Archive" description="Connection to the 'MyWorkout Archive' query in the workbook." type="5" refreshedVersion="8" saveData="1">
    <dbPr connection="Provider=Microsoft.Mashup.OleDb.1;Data Source=$Workbook$;Location=&quot;MyWorkout Archive&quot;;Extended Properties=&quot;&quot;" command="SELECT * FROM [MyWorkout Archive]"/>
  </connection>
  <connection id="2" xr16:uid="{0042F587-930F-42E9-9E35-2E2D33299804}" keepAlive="1" name="Query - Parameter1" description="Connection to the 'Parameter1' query in the workbook." type="5" refreshedVersion="0" background="1">
    <dbPr connection="Provider=Microsoft.Mashup.OleDb.1;Data Source=$Workbook$;Location=Parameter1;Extended Properties=&quot;&quot;" command="SELECT * FROM [Parameter1]"/>
  </connection>
  <connection id="3" xr16:uid="{2A205181-3F4C-4806-B559-FC82E351E792}" keepAlive="1" name="Query - Sample File" description="Connection to the 'Sample File' query in the workbook." type="5" refreshedVersion="0" background="1">
    <dbPr connection="Provider=Microsoft.Mashup.OleDb.1;Data Source=$Workbook$;Location=&quot;Sample File&quot;;Extended Properties=&quot;&quot;" command="SELECT * FROM [Sample File]"/>
  </connection>
  <connection id="4" xr16:uid="{CBF8F92B-DC4D-498F-99F0-D841B978085D}" keepAlive="1" name="Query - Transform File" description="Connection to the 'Transform File' query in the workbook." type="5" refreshedVersion="0" background="1">
    <dbPr connection="Provider=Microsoft.Mashup.OleDb.1;Data Source=$Workbook$;Location=&quot;Transform File&quot;;Extended Properties=&quot;&quot;" command="SELECT * FROM [Transform File]"/>
  </connection>
  <connection id="5" xr16:uid="{5DF796B0-1F5E-499C-ABA7-52B48A9187CA}" keepAlive="1" name="Query - Transform Sample File" description="Connection to the 'Transform Sample File' query in the workbook." type="5" refreshedVersion="0" background="1">
    <dbPr connection="Provider=Microsoft.Mashup.OleDb.1;Data Source=$Workbook$;Location=&quot;Transform Sample File&quot;;Extended Properties=&quot;&quot;" command="SELECT * FROM [Transform Sample File]"/>
  </connection>
</connections>
</file>

<file path=xl/sharedStrings.xml><?xml version="1.0" encoding="utf-8"?>
<sst xmlns="http://schemas.openxmlformats.org/spreadsheetml/2006/main" count="63" uniqueCount="54">
  <si>
    <t>Workout Date</t>
  </si>
  <si>
    <t>distance</t>
  </si>
  <si>
    <t>pctAverageHeartRateInZone</t>
  </si>
  <si>
    <t>averageSpeed</t>
  </si>
  <si>
    <t>Hours</t>
  </si>
  <si>
    <t>Minutes</t>
  </si>
  <si>
    <t>averageWattsPerHour</t>
  </si>
  <si>
    <t>totalCalories</t>
  </si>
  <si>
    <t>avgHeartRate</t>
  </si>
  <si>
    <t>avgRpm</t>
  </si>
  <si>
    <t>avgLevel</t>
  </si>
  <si>
    <t>Workouts</t>
  </si>
  <si>
    <t>Averages</t>
  </si>
  <si>
    <t>Speed</t>
  </si>
  <si>
    <t>Level</t>
  </si>
  <si>
    <t>DaysBetween</t>
  </si>
  <si>
    <t>RPM</t>
  </si>
  <si>
    <t>Calories</t>
  </si>
  <si>
    <t>Days Between</t>
  </si>
  <si>
    <t>Totals</t>
  </si>
  <si>
    <t>Miles</t>
  </si>
  <si>
    <t>Weighted Averages</t>
  </si>
  <si>
    <t>% Minutes</t>
  </si>
  <si>
    <t>Weighted avgSpeed</t>
  </si>
  <si>
    <t>Weighted avgLevel</t>
  </si>
  <si>
    <t>Weighted avgRPM</t>
  </si>
  <si>
    <t>Max</t>
  </si>
  <si>
    <t>Max Workouts</t>
  </si>
  <si>
    <t>Time</t>
  </si>
  <si>
    <t>Frequency</t>
  </si>
  <si>
    <t>MonthYear</t>
  </si>
  <si>
    <t>MTD Workouts</t>
  </si>
  <si>
    <t>MTD Calories</t>
  </si>
  <si>
    <t>Day</t>
  </si>
  <si>
    <t>This Month</t>
  </si>
  <si>
    <t>Last Month</t>
  </si>
  <si>
    <t>Two months ago</t>
  </si>
  <si>
    <t>Two Months Ago</t>
  </si>
  <si>
    <t>Top Month</t>
  </si>
  <si>
    <t>Month Total</t>
  </si>
  <si>
    <t>Mins</t>
  </si>
  <si>
    <t>FileName</t>
  </si>
  <si>
    <t>This tracker will work for the Nautilus U616 bike</t>
  </si>
  <si>
    <t>4) Open the .dat file in a notebook editor or similar</t>
  </si>
  <si>
    <r>
      <t xml:space="preserve">5) Save into the </t>
    </r>
    <r>
      <rPr>
        <i/>
        <sz val="11"/>
        <color theme="1"/>
        <rFont val="Calibri"/>
        <family val="2"/>
        <scheme val="minor"/>
      </rPr>
      <t>Workout Archive</t>
    </r>
    <r>
      <rPr>
        <sz val="11"/>
        <color theme="1"/>
        <rFont val="Calibri"/>
        <family val="2"/>
        <scheme val="minor"/>
      </rPr>
      <t xml:space="preserve"> folder as a .csv file with the naming convention shown in the screenshot (it's helpful to note the date at the end of the file).</t>
    </r>
  </si>
  <si>
    <r>
      <t xml:space="preserve">6) Delete the </t>
    </r>
    <r>
      <rPr>
        <i/>
        <sz val="11"/>
        <color theme="1"/>
        <rFont val="Calibri"/>
        <family val="2"/>
        <scheme val="minor"/>
      </rPr>
      <t xml:space="preserve">Sample Data </t>
    </r>
    <r>
      <rPr>
        <sz val="11"/>
        <color theme="1"/>
        <rFont val="Calibri"/>
        <family val="2"/>
        <scheme val="minor"/>
      </rPr>
      <t>file from the</t>
    </r>
    <r>
      <rPr>
        <i/>
        <sz val="11"/>
        <color theme="1"/>
        <rFont val="Calibri"/>
        <family val="2"/>
        <scheme val="minor"/>
      </rPr>
      <t xml:space="preserve"> Workout Archive Folder</t>
    </r>
  </si>
  <si>
    <r>
      <t xml:space="preserve">7) Go to Sheet1 of this document and click </t>
    </r>
    <r>
      <rPr>
        <i/>
        <sz val="11"/>
        <color theme="1"/>
        <rFont val="Calibri"/>
        <family val="2"/>
        <scheme val="minor"/>
      </rPr>
      <t>Data -&gt; Refresh All</t>
    </r>
    <r>
      <rPr>
        <sz val="11"/>
        <color theme="1"/>
        <rFont val="Calibri"/>
        <family val="2"/>
        <scheme val="minor"/>
      </rPr>
      <t xml:space="preserve"> to see your workout trends!</t>
    </r>
  </si>
  <si>
    <r>
      <t xml:space="preserve">3) Use the </t>
    </r>
    <r>
      <rPr>
        <i/>
        <sz val="11"/>
        <color theme="1"/>
        <rFont val="Calibri"/>
        <family val="2"/>
        <scheme val="minor"/>
      </rPr>
      <t>Export to USB</t>
    </r>
    <r>
      <rPr>
        <sz val="11"/>
        <color theme="1"/>
        <rFont val="Calibri"/>
        <family val="2"/>
        <scheme val="minor"/>
      </rPr>
      <t xml:space="preserve"> feature on the bike to export your workout data to a flash drive. The file will be a .DAT file on the USB.</t>
    </r>
  </si>
  <si>
    <r>
      <t xml:space="preserve">8) Whenever you want to update the charts and stats on the </t>
    </r>
    <r>
      <rPr>
        <i/>
        <sz val="11"/>
        <color theme="1"/>
        <rFont val="Calibri"/>
        <family val="2"/>
        <scheme val="minor"/>
      </rPr>
      <t>Workout Dashboard</t>
    </r>
    <r>
      <rPr>
        <sz val="11"/>
        <color theme="1"/>
        <rFont val="Calibri"/>
        <family val="2"/>
        <scheme val="minor"/>
      </rPr>
      <t xml:space="preserve"> simply use the </t>
    </r>
    <r>
      <rPr>
        <i/>
        <sz val="11"/>
        <color theme="1"/>
        <rFont val="Calibri"/>
        <family val="2"/>
        <scheme val="minor"/>
      </rPr>
      <t>Export to USB</t>
    </r>
    <r>
      <rPr>
        <sz val="11"/>
        <color theme="1"/>
        <rFont val="Calibri"/>
        <family val="2"/>
        <scheme val="minor"/>
      </rPr>
      <t xml:space="preserve"> feature on the bike to override the .DAT file</t>
    </r>
  </si>
  <si>
    <t>9) Re-save the .csv file using a similar naming convention as the original file, adjusting the name to reflect the date. No need to delete old files.</t>
  </si>
  <si>
    <r>
      <t xml:space="preserve">10) Click </t>
    </r>
    <r>
      <rPr>
        <i/>
        <sz val="11"/>
        <color theme="1"/>
        <rFont val="Calibri"/>
        <family val="2"/>
        <scheme val="minor"/>
      </rPr>
      <t>Data -&gt; Refresh</t>
    </r>
    <r>
      <rPr>
        <sz val="11"/>
        <color theme="1"/>
        <rFont val="Calibri"/>
        <family val="2"/>
        <scheme val="minor"/>
      </rPr>
      <t xml:space="preserve"> and enjoy!</t>
    </r>
  </si>
  <si>
    <t>Welcome to the Hyzermetrics Workout Dashboard!</t>
  </si>
  <si>
    <r>
      <t xml:space="preserve">2) Go to the </t>
    </r>
    <r>
      <rPr>
        <i/>
        <sz val="11"/>
        <color theme="1"/>
        <rFont val="Calibri"/>
        <family val="2"/>
        <scheme val="minor"/>
      </rPr>
      <t xml:space="preserve">Workout Dashboard tab </t>
    </r>
    <r>
      <rPr>
        <sz val="11"/>
        <color theme="1"/>
        <rFont val="Calibri"/>
        <family val="2"/>
        <scheme val="minor"/>
      </rPr>
      <t>and</t>
    </r>
    <r>
      <rPr>
        <i/>
        <sz val="11"/>
        <color theme="1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 xml:space="preserve">click </t>
    </r>
    <r>
      <rPr>
        <i/>
        <sz val="11"/>
        <color theme="1"/>
        <rFont val="Calibri"/>
        <family val="2"/>
        <scheme val="minor"/>
      </rPr>
      <t>Data -&gt; Refresh All</t>
    </r>
    <r>
      <rPr>
        <sz val="11"/>
        <color theme="1"/>
        <rFont val="Calibri"/>
        <family val="2"/>
        <scheme val="minor"/>
      </rPr>
      <t>. You should see sample stats and charts generated.</t>
    </r>
  </si>
  <si>
    <r>
      <t xml:space="preserve">1) Save this spreadsheet to your desktop. Create a </t>
    </r>
    <r>
      <rPr>
        <i/>
        <sz val="11"/>
        <color theme="1"/>
        <rFont val="Calibri"/>
        <family val="2"/>
        <scheme val="minor"/>
      </rPr>
      <t>Workout Archive</t>
    </r>
    <r>
      <rPr>
        <sz val="11"/>
        <color theme="1"/>
        <rFont val="Calibri"/>
        <family val="2"/>
        <scheme val="minor"/>
      </rPr>
      <t xml:space="preserve"> folder on your desktop as well. Save the SAMPLE DATA as .csv into the newly created folder.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</si>
</sst>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5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4"/>
      <color theme="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22"/>
      <color theme="0"/>
      <name val="Calibri"/>
      <family val="2"/>
      <scheme val="minor"/>
    </font>
    <font>
      <b/>
      <u/>
      <sz val="22"/>
      <color theme="0"/>
      <name val="Calibri"/>
      <family val="2"/>
      <scheme val="minor"/>
    </font>
    <font>
      <sz val="11"/>
      <color theme="1"/>
      <name val="Calibri"/>
      <family val="2"/>
      <scheme val="minor"/>
    </font>
    <font>
      <b/>
      <u/>
      <sz val="14"/>
      <color theme="0"/>
      <name val="Calibri"/>
      <family val="2"/>
      <scheme val="minor"/>
    </font>
    <font>
      <sz val="8"/>
      <name val="Calibri"/>
      <family val="2"/>
      <scheme val="minor"/>
    </font>
    <font>
      <sz val="10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 tint="-0.249977111117893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3" fontId="8" fillId="0" borderId="0" applyFont="0" applyFill="0" applyBorder="0" applyAlignment="0" applyProtection="0"/>
  </cellStyleXfs>
  <cellXfs count="41">
    <xf numFmtId="0" fontId="0" fillId="0" borderId="0" xfId="0"/>
    <xf numFmtId="14" fontId="0" fillId="0" borderId="0" xfId="0" applyNumberFormat="1"/>
    <xf numFmtId="0" fontId="0" fillId="2" borderId="0" xfId="0" applyFill="1"/>
    <xf numFmtId="0" fontId="1" fillId="2" borderId="0" xfId="0" applyFont="1" applyFill="1"/>
    <xf numFmtId="0" fontId="2" fillId="2" borderId="0" xfId="0" applyFont="1" applyFill="1"/>
    <xf numFmtId="0" fontId="3" fillId="2" borderId="0" xfId="0" applyFont="1" applyFill="1"/>
    <xf numFmtId="0" fontId="4" fillId="2" borderId="0" xfId="0" applyFont="1" applyFill="1"/>
    <xf numFmtId="1" fontId="0" fillId="0" borderId="0" xfId="0" applyNumberFormat="1"/>
    <xf numFmtId="0" fontId="6" fillId="2" borderId="0" xfId="0" applyFont="1" applyFill="1" applyAlignment="1">
      <alignment horizontal="centerContinuous"/>
    </xf>
    <xf numFmtId="0" fontId="3" fillId="2" borderId="0" xfId="0" applyFont="1" applyFill="1" applyAlignment="1">
      <alignment horizontal="left"/>
    </xf>
    <xf numFmtId="0" fontId="0" fillId="2" borderId="0" xfId="0" applyFill="1" applyAlignment="1">
      <alignment horizontal="left"/>
    </xf>
    <xf numFmtId="0" fontId="1" fillId="2" borderId="0" xfId="0" applyFont="1" applyFill="1" applyAlignment="1">
      <alignment horizontal="left"/>
    </xf>
    <xf numFmtId="0" fontId="7" fillId="2" borderId="0" xfId="0" applyFont="1" applyFill="1" applyAlignment="1">
      <alignment horizontal="left"/>
    </xf>
    <xf numFmtId="0" fontId="6" fillId="2" borderId="0" xfId="0" applyFont="1" applyFill="1" applyAlignment="1">
      <alignment horizontal="left"/>
    </xf>
    <xf numFmtId="0" fontId="5" fillId="2" borderId="0" xfId="0" applyFont="1" applyFill="1" applyAlignment="1">
      <alignment horizontal="left"/>
    </xf>
    <xf numFmtId="164" fontId="3" fillId="2" borderId="0" xfId="0" applyNumberFormat="1" applyFont="1" applyFill="1" applyAlignment="1">
      <alignment vertical="center"/>
    </xf>
    <xf numFmtId="0" fontId="2" fillId="2" borderId="0" xfId="0" applyFont="1" applyFill="1" applyAlignment="1">
      <alignment horizontal="left" vertical="center"/>
    </xf>
    <xf numFmtId="0" fontId="5" fillId="2" borderId="0" xfId="0" applyFont="1" applyFill="1"/>
    <xf numFmtId="0" fontId="1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 vertical="center"/>
    </xf>
    <xf numFmtId="165" fontId="3" fillId="2" borderId="0" xfId="1" applyNumberFormat="1" applyFont="1" applyFill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0" xfId="1" applyNumberFormat="1" applyFont="1" applyFill="1" applyAlignment="1">
      <alignment horizontal="center" vertical="center"/>
    </xf>
    <xf numFmtId="164" fontId="1" fillId="2" borderId="0" xfId="0" applyNumberFormat="1" applyFont="1" applyFill="1" applyAlignment="1">
      <alignment horizontal="center"/>
    </xf>
    <xf numFmtId="0" fontId="9" fillId="2" borderId="0" xfId="0" applyFont="1" applyFill="1" applyAlignment="1">
      <alignment horizontal="left" vertical="center"/>
    </xf>
    <xf numFmtId="0" fontId="9" fillId="2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7" fillId="2" borderId="0" xfId="0" applyFont="1" applyFill="1" applyAlignment="1">
      <alignment horizontal="centerContinuous" vertical="center"/>
    </xf>
    <xf numFmtId="0" fontId="7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1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vertical="center"/>
    </xf>
    <xf numFmtId="0" fontId="12" fillId="2" borderId="0" xfId="0" applyFont="1" applyFill="1" applyAlignment="1">
      <alignment horizontal="center" vertical="center"/>
    </xf>
    <xf numFmtId="0" fontId="12" fillId="2" borderId="0" xfId="0" applyFont="1" applyFill="1" applyAlignment="1">
      <alignment horizontal="center" vertical="center" wrapText="1"/>
    </xf>
    <xf numFmtId="0" fontId="9" fillId="2" borderId="0" xfId="0" applyFont="1" applyFill="1" applyAlignment="1">
      <alignment horizontal="center" vertical="center"/>
    </xf>
    <xf numFmtId="1" fontId="3" fillId="2" borderId="0" xfId="0" applyNumberFormat="1" applyFont="1" applyFill="1" applyAlignment="1">
      <alignment horizontal="center" vertical="center"/>
    </xf>
    <xf numFmtId="0" fontId="3" fillId="2" borderId="0" xfId="0" applyFont="1" applyFill="1" applyAlignment="1">
      <alignment horizontal="center"/>
    </xf>
    <xf numFmtId="0" fontId="0" fillId="3" borderId="0" xfId="0" applyFill="1"/>
    <xf numFmtId="0" fontId="13" fillId="3" borderId="0" xfId="0" applyFont="1" applyFill="1"/>
    <xf numFmtId="0" fontId="0" fillId="0" borderId="0" xfId="0" applyNumberFormat="1"/>
  </cellXfs>
  <cellStyles count="2">
    <cellStyle name="Comma" xfId="1" builtinId="3"/>
    <cellStyle name="Normal" xfId="0" builtinId="0"/>
  </cellStyles>
  <dxfs count="16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1" formatCode="0"/>
    </dxf>
    <dxf>
      <numFmt numFmtId="0" formatCode="General"/>
    </dxf>
    <dxf>
      <numFmt numFmtId="1" formatCode="0"/>
    </dxf>
    <dxf>
      <numFmt numFmtId="19" formatCode="m/d/yyyy"/>
    </dxf>
  </dxfs>
  <tableStyles count="0" defaultTableStyle="TableStyleMedium2" defaultPivotStyle="PivotStyleLight16"/>
  <colors>
    <mruColors>
      <color rgb="FFFFFFFF"/>
      <color rgb="FF33CC33"/>
      <color rgb="FFFFFFCC"/>
      <color rgb="FFCC0066"/>
      <color rgb="FF660033"/>
      <color rgb="FF660066"/>
      <color rgb="FF800000"/>
      <color rgb="FFFF0066"/>
      <color rgb="FF000099"/>
      <color rgb="FF2D384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onnections" Target="connections.xml"/><Relationship Id="rId5" Type="http://schemas.openxmlformats.org/officeDocument/2006/relationships/theme" Target="theme/theme1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7.1028142148132745E-2"/>
          <c:y val="5.4522924411400248E-2"/>
          <c:w val="0.87530307276458397"/>
          <c:h val="0.71925650557620813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Workouts!$B$1</c:f>
              <c:strCache>
                <c:ptCount val="1"/>
                <c:pt idx="0">
                  <c:v>distance</c:v>
                </c:pt>
              </c:strCache>
            </c:strRef>
          </c:tx>
          <c:spPr>
            <a:solidFill>
              <a:srgbClr val="CC0066"/>
            </a:solidFill>
            <a:ln w="19050">
              <a:solidFill>
                <a:schemeClr val="tx1"/>
              </a:solidFill>
            </a:ln>
            <a:effectLst>
              <a:glow rad="76200">
                <a:srgbClr val="CC0066">
                  <a:alpha val="40000"/>
                </a:srgbClr>
              </a:glow>
            </a:effectLst>
          </c:spPr>
          <c:invertIfNegative val="0"/>
          <c:cat>
            <c:numRef>
              <c:f>Workouts!$A$2:$A$15</c:f>
              <c:numCache>
                <c:formatCode>m/d/yyyy</c:formatCode>
                <c:ptCount val="14"/>
              </c:numCache>
            </c:numRef>
          </c:cat>
          <c:val>
            <c:numRef>
              <c:f>Workouts!$B$2:$B$15</c:f>
              <c:numCache>
                <c:formatCode>General</c:formatCode>
                <c:ptCount val="14"/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1-67C8-48C0-A835-D38785D07C55}"/>
            </c:ext>
          </c:extLst>
        </c:ser>
        <c:ser>
          <c:idx val="9"/>
          <c:order val="9"/>
          <c:tx>
            <c:strRef>
              <c:f>Workouts!$K$1</c:f>
              <c:strCache>
                <c:ptCount val="1"/>
                <c:pt idx="0">
                  <c:v>avgLevel</c:v>
                </c:pt>
              </c:strCache>
            </c:strRef>
          </c:tx>
          <c:spPr>
            <a:solidFill>
              <a:srgbClr val="FFFFCC"/>
            </a:solidFill>
            <a:ln w="19050">
              <a:solidFill>
                <a:schemeClr val="tx1"/>
              </a:solidFill>
            </a:ln>
            <a:effectLst>
              <a:glow rad="76200">
                <a:srgbClr val="FFFFCC">
                  <a:alpha val="40000"/>
                </a:srgbClr>
              </a:glow>
            </a:effectLst>
          </c:spPr>
          <c:invertIfNegative val="0"/>
          <c:cat>
            <c:numRef>
              <c:f>Workouts!$A$2:$A$15</c:f>
              <c:numCache>
                <c:formatCode>m/d/yyyy</c:formatCode>
                <c:ptCount val="14"/>
              </c:numCache>
            </c:numRef>
          </c:cat>
          <c:val>
            <c:numRef>
              <c:f>Workouts!$K$2:$K$15</c:f>
              <c:numCache>
                <c:formatCode>0</c:formatCode>
                <c:ptCount val="14"/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2-67C8-48C0-A835-D38785D07C55}"/>
            </c:ext>
          </c:extLst>
        </c:ser>
        <c:ser>
          <c:idx val="10"/>
          <c:order val="10"/>
          <c:tx>
            <c:strRef>
              <c:f>Workouts!$L$1</c:f>
              <c:strCache>
                <c:ptCount val="1"/>
                <c:pt idx="0">
                  <c:v>Mins</c:v>
                </c:pt>
              </c:strCache>
            </c:strRef>
          </c:tx>
          <c:spPr>
            <a:solidFill>
              <a:srgbClr val="33CC33"/>
            </a:solidFill>
            <a:ln w="19050">
              <a:solidFill>
                <a:schemeClr val="tx1"/>
              </a:solidFill>
            </a:ln>
            <a:effectLst>
              <a:glow rad="76200">
                <a:srgbClr val="33CC33">
                  <a:alpha val="40000"/>
                </a:srgbClr>
              </a:glow>
              <a:softEdge rad="0"/>
            </a:effectLst>
          </c:spPr>
          <c:invertIfNegative val="0"/>
          <c:cat>
            <c:numRef>
              <c:f>Workouts!$A$2:$A$15</c:f>
              <c:numCache>
                <c:formatCode>m/d/yyyy</c:formatCode>
                <c:ptCount val="14"/>
              </c:numCache>
            </c:numRef>
          </c:cat>
          <c:val>
            <c:numRef>
              <c:f>Workouts!$L$2:$L$15</c:f>
              <c:numCache>
                <c:formatCode>General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0-67C8-48C0-A835-D38785D07C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overlap val="100"/>
        <c:axId val="1305923808"/>
        <c:axId val="149691296"/>
        <c:extLst>
          <c:ext xmlns:c15="http://schemas.microsoft.com/office/drawing/2012/chart" uri="{02D57815-91ED-43cb-92C2-25804820EDAC}">
            <c15:filteredBarSeries>
              <c15:ser>
                <c:idx val="1"/>
                <c:order val="1"/>
                <c:tx>
                  <c:strRef>
                    <c:extLst>
                      <c:ext uri="{02D57815-91ED-43cb-92C2-25804820EDAC}">
                        <c15:formulaRef>
                          <c15:sqref>Workouts!$C$1</c15:sqref>
                        </c15:formulaRef>
                      </c:ext>
                    </c:extLst>
                    <c:strCache>
                      <c:ptCount val="1"/>
                      <c:pt idx="0">
                        <c:v>pctAverageHeartRateInZone</c:v>
                      </c:pt>
                    </c:strCache>
                  </c:strRef>
                </c:tx>
                <c:spPr>
                  <a:solidFill>
                    <a:schemeClr val="accent2"/>
                  </a:solidFill>
                  <a:ln>
                    <a:noFill/>
                  </a:ln>
                  <a:effectLst/>
                </c:spPr>
                <c:invertIfNegative val="0"/>
                <c:cat>
                  <c:numRef>
                    <c:extLst>
                      <c:ext uri="{02D57815-91ED-43cb-92C2-25804820EDAC}">
                        <c15:formulaRef>
                          <c15:sqref>Workouts!$A$2:$A$15</c15:sqref>
                        </c15:formulaRef>
                      </c:ext>
                    </c:extLst>
                    <c:numCache>
                      <c:formatCode>m/d/yyyy</c:formatCode>
                      <c:ptCount val="14"/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Workouts!$C$2:$C$15</c15:sqref>
                        </c15:formulaRef>
                      </c:ext>
                    </c:extLst>
                    <c:numCache>
                      <c:formatCode>General</c:formatCode>
                      <c:ptCount val="14"/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4-67C8-48C0-A835-D38785D07C55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Workouts!$D$1</c15:sqref>
                        </c15:formulaRef>
                      </c:ext>
                    </c:extLst>
                    <c:strCache>
                      <c:ptCount val="1"/>
                      <c:pt idx="0">
                        <c:v>averageSpeed</c:v>
                      </c:pt>
                    </c:strCache>
                  </c:strRef>
                </c:tx>
                <c:spPr>
                  <a:solidFill>
                    <a:schemeClr val="accent3"/>
                  </a:solidFill>
                  <a:ln>
                    <a:noFill/>
                  </a:ln>
                  <a:effectLst/>
                </c:spPr>
                <c:invertIfNegative val="0"/>
                <c:cat>
                  <c:numRef>
                    <c:extLst>
                      <c:ext xmlns:c15="http://schemas.microsoft.com/office/drawing/2012/chart" uri="{02D57815-91ED-43cb-92C2-25804820EDAC}">
                        <c15:formulaRef>
                          <c15:sqref>Workouts!$A$2:$A$15</c15:sqref>
                        </c15:formulaRef>
                      </c:ext>
                    </c:extLst>
                    <c:numCache>
                      <c:formatCode>m/d/yyyy</c:formatCode>
                      <c:ptCount val="14"/>
                    </c:numCache>
                  </c:num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ormulaRef>
                          <c15:sqref>Workouts!$D$2:$D$15</c15:sqref>
                        </c15:formulaRef>
                      </c:ext>
                    </c:extLst>
                    <c:numCache>
                      <c:formatCode>General</c:formatCode>
                      <c:ptCount val="14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5-67C8-48C0-A835-D38785D07C55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Workouts!$E$1</c15:sqref>
                        </c15:formulaRef>
                      </c:ext>
                    </c:extLst>
                    <c:strCache>
                      <c:ptCount val="1"/>
                      <c:pt idx="0">
                        <c:v>Hours</c:v>
                      </c:pt>
                    </c:strCache>
                  </c:strRef>
                </c:tx>
                <c:spPr>
                  <a:solidFill>
                    <a:schemeClr val="accent4"/>
                  </a:solidFill>
                  <a:ln>
                    <a:noFill/>
                  </a:ln>
                  <a:effectLst/>
                </c:spPr>
                <c:invertIfNegative val="0"/>
                <c:cat>
                  <c:numRef>
                    <c:extLst>
                      <c:ext xmlns:c15="http://schemas.microsoft.com/office/drawing/2012/chart" uri="{02D57815-91ED-43cb-92C2-25804820EDAC}">
                        <c15:formulaRef>
                          <c15:sqref>Workouts!$A$2:$A$15</c15:sqref>
                        </c15:formulaRef>
                      </c:ext>
                    </c:extLst>
                    <c:numCache>
                      <c:formatCode>m/d/yyyy</c:formatCode>
                      <c:ptCount val="14"/>
                    </c:numCache>
                  </c:num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ormulaRef>
                          <c15:sqref>Workouts!$E$2:$E$15</c15:sqref>
                        </c15:formulaRef>
                      </c:ext>
                    </c:extLst>
                    <c:numCache>
                      <c:formatCode>General</c:formatCode>
                      <c:ptCount val="14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6-67C8-48C0-A835-D38785D07C55}"/>
                  </c:ext>
                </c:extLst>
              </c15:ser>
            </c15:filteredBarSeries>
            <c15:filteredBarSeries>
              <c15:ser>
                <c:idx val="4"/>
                <c:order val="4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Workouts!$F$1</c15:sqref>
                        </c15:formulaRef>
                      </c:ext>
                    </c:extLst>
                    <c:strCache>
                      <c:ptCount val="1"/>
                      <c:pt idx="0">
                        <c:v>Minutes</c:v>
                      </c:pt>
                    </c:strCache>
                  </c:strRef>
                </c:tx>
                <c:spPr>
                  <a:solidFill>
                    <a:schemeClr val="accent5"/>
                  </a:solidFill>
                  <a:ln>
                    <a:noFill/>
                  </a:ln>
                  <a:effectLst/>
                </c:spPr>
                <c:invertIfNegative val="0"/>
                <c:cat>
                  <c:numRef>
                    <c:extLst>
                      <c:ext xmlns:c15="http://schemas.microsoft.com/office/drawing/2012/chart" uri="{02D57815-91ED-43cb-92C2-25804820EDAC}">
                        <c15:formulaRef>
                          <c15:sqref>Workouts!$A$2:$A$15</c15:sqref>
                        </c15:formulaRef>
                      </c:ext>
                    </c:extLst>
                    <c:numCache>
                      <c:formatCode>m/d/yyyy</c:formatCode>
                      <c:ptCount val="14"/>
                    </c:numCache>
                  </c:num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ormulaRef>
                          <c15:sqref>Workouts!$F$2:$F$15</c15:sqref>
                        </c15:formulaRef>
                      </c:ext>
                    </c:extLst>
                    <c:numCache>
                      <c:formatCode>General</c:formatCode>
                      <c:ptCount val="14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7-67C8-48C0-A835-D38785D07C55}"/>
                  </c:ext>
                </c:extLst>
              </c15:ser>
            </c15:filteredBarSeries>
            <c15:filteredBarSeries>
              <c15:ser>
                <c:idx val="5"/>
                <c:order val="5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Workouts!$G$1</c15:sqref>
                        </c15:formulaRef>
                      </c:ext>
                    </c:extLst>
                    <c:strCache>
                      <c:ptCount val="1"/>
                      <c:pt idx="0">
                        <c:v>averageWattsPerHour</c:v>
                      </c:pt>
                    </c:strCache>
                  </c:strRef>
                </c:tx>
                <c:spPr>
                  <a:solidFill>
                    <a:schemeClr val="accent6"/>
                  </a:solidFill>
                  <a:ln>
                    <a:noFill/>
                  </a:ln>
                  <a:effectLst/>
                </c:spPr>
                <c:invertIfNegative val="0"/>
                <c:cat>
                  <c:numRef>
                    <c:extLst>
                      <c:ext xmlns:c15="http://schemas.microsoft.com/office/drawing/2012/chart" uri="{02D57815-91ED-43cb-92C2-25804820EDAC}">
                        <c15:formulaRef>
                          <c15:sqref>Workouts!$A$2:$A$15</c15:sqref>
                        </c15:formulaRef>
                      </c:ext>
                    </c:extLst>
                    <c:numCache>
                      <c:formatCode>m/d/yyyy</c:formatCode>
                      <c:ptCount val="14"/>
                    </c:numCache>
                  </c:num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ormulaRef>
                          <c15:sqref>Workouts!$G$2:$G$15</c15:sqref>
                        </c15:formulaRef>
                      </c:ext>
                    </c:extLst>
                    <c:numCache>
                      <c:formatCode>General</c:formatCode>
                      <c:ptCount val="14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8-67C8-48C0-A835-D38785D07C55}"/>
                  </c:ext>
                </c:extLst>
              </c15:ser>
            </c15:filteredBarSeries>
            <c15:filteredBarSeries>
              <c15:ser>
                <c:idx val="7"/>
                <c:order val="7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Workouts!$I$1</c15:sqref>
                        </c15:formulaRef>
                      </c:ext>
                    </c:extLst>
                    <c:strCache>
                      <c:ptCount val="1"/>
                      <c:pt idx="0">
                        <c:v>avgHeartRate</c:v>
                      </c:pt>
                    </c:strCache>
                  </c:strRef>
                </c:tx>
                <c:spPr>
                  <a:solidFill>
                    <a:schemeClr val="accent2">
                      <a:lumMod val="6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numRef>
                    <c:extLst>
                      <c:ext xmlns:c15="http://schemas.microsoft.com/office/drawing/2012/chart" uri="{02D57815-91ED-43cb-92C2-25804820EDAC}">
                        <c15:formulaRef>
                          <c15:sqref>Workouts!$A$2:$A$15</c15:sqref>
                        </c15:formulaRef>
                      </c:ext>
                    </c:extLst>
                    <c:numCache>
                      <c:formatCode>m/d/yyyy</c:formatCode>
                      <c:ptCount val="14"/>
                    </c:numCache>
                  </c:num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ormulaRef>
                          <c15:sqref>Workouts!$I$2:$I$15</c15:sqref>
                        </c15:formulaRef>
                      </c:ext>
                    </c:extLst>
                    <c:numCache>
                      <c:formatCode>General</c:formatCode>
                      <c:ptCount val="14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9-67C8-48C0-A835-D38785D07C55}"/>
                  </c:ext>
                </c:extLst>
              </c15:ser>
            </c15:filteredBarSeries>
          </c:ext>
        </c:extLst>
      </c:barChart>
      <c:lineChart>
        <c:grouping val="standard"/>
        <c:varyColors val="0"/>
        <c:ser>
          <c:idx val="6"/>
          <c:order val="6"/>
          <c:tx>
            <c:strRef>
              <c:f>Workouts!$H$1</c:f>
              <c:strCache>
                <c:ptCount val="1"/>
                <c:pt idx="0">
                  <c:v>totalCalories</c:v>
                </c:pt>
              </c:strCache>
            </c:strRef>
          </c:tx>
          <c:spPr>
            <a:ln w="15875" cap="rnd">
              <a:solidFill>
                <a:srgbClr val="33CCFF"/>
              </a:solidFill>
              <a:prstDash val="sysDot"/>
              <a:round/>
            </a:ln>
            <a:effectLst>
              <a:glow>
                <a:srgbClr val="33CCFF"/>
              </a:glow>
            </a:effectLst>
          </c:spPr>
          <c:marker>
            <c:symbol val="circle"/>
            <c:size val="17"/>
            <c:spPr>
              <a:solidFill>
                <a:srgbClr val="33CCFF"/>
              </a:solidFill>
              <a:ln w="9525">
                <a:solidFill>
                  <a:schemeClr val="tx1"/>
                </a:solidFill>
              </a:ln>
              <a:effectLst>
                <a:glow>
                  <a:srgbClr val="33CCFF"/>
                </a:glow>
              </a:effectLst>
              <a:scene3d>
                <a:camera prst="orthographicFront"/>
                <a:lightRig rig="threePt" dir="t"/>
              </a:scene3d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t" anchorCtr="0">
                <a:spAutoFit/>
              </a:bodyPr>
              <a:lstStyle/>
              <a:p>
                <a:pPr algn="l">
                  <a:defRPr sz="800" b="1" i="0" u="none" strike="noStrike" kern="1200" baseline="0">
                    <a:ln w="6350">
                      <a:noFill/>
                    </a:ln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Workouts!$A$2:$A$15</c:f>
              <c:numCache>
                <c:formatCode>m/d/yyyy</c:formatCode>
                <c:ptCount val="14"/>
              </c:numCache>
            </c:numRef>
          </c:cat>
          <c:val>
            <c:numRef>
              <c:f>Workouts!$H$2:$H$15</c:f>
              <c:numCache>
                <c:formatCode>General</c:formatCode>
                <c:ptCount val="14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67C8-48C0-A835-D38785D07C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9522640"/>
        <c:axId val="217826160"/>
        <c:extLst>
          <c:ext xmlns:c15="http://schemas.microsoft.com/office/drawing/2012/chart" uri="{02D57815-91ED-43cb-92C2-25804820EDAC}">
            <c15:filteredLineSeries>
              <c15:ser>
                <c:idx val="8"/>
                <c:order val="8"/>
                <c:tx>
                  <c:strRef>
                    <c:extLst>
                      <c:ext uri="{02D57815-91ED-43cb-92C2-25804820EDAC}">
                        <c15:formulaRef>
                          <c15:sqref>Workouts!$J$1</c15:sqref>
                        </c15:formulaRef>
                      </c:ext>
                    </c:extLst>
                    <c:strCache>
                      <c:ptCount val="1"/>
                      <c:pt idx="0">
                        <c:v>avgRpm</c:v>
                      </c:pt>
                    </c:strCache>
                  </c:strRef>
                </c:tx>
                <c:spPr>
                  <a:ln w="28575" cap="rnd">
                    <a:solidFill>
                      <a:schemeClr val="accent3">
                        <a:lumMod val="60000"/>
                      </a:schemeClr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numRef>
                    <c:extLst>
                      <c:ext uri="{02D57815-91ED-43cb-92C2-25804820EDAC}">
                        <c15:formulaRef>
                          <c15:sqref>Workouts!$A$2:$A$15</c15:sqref>
                        </c15:formulaRef>
                      </c:ext>
                    </c:extLst>
                    <c:numCache>
                      <c:formatCode>m/d/yyyy</c:formatCode>
                      <c:ptCount val="14"/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Workouts!$J$2:$J$15</c15:sqref>
                        </c15:formulaRef>
                      </c:ext>
                    </c:extLst>
                    <c:numCache>
                      <c:formatCode>General</c:formatCode>
                      <c:ptCount val="14"/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A-67C8-48C0-A835-D38785D07C55}"/>
                  </c:ext>
                </c:extLst>
              </c15:ser>
            </c15:filteredLineSeries>
            <c15:filteredLineSeries>
              <c15:ser>
                <c:idx val="11"/>
                <c:order val="11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Workouts!$M$1</c15:sqref>
                        </c15:formulaRef>
                      </c:ext>
                    </c:extLst>
                    <c:strCache>
                      <c:ptCount val="1"/>
                      <c:pt idx="0">
                        <c:v>DaysBetween</c:v>
                      </c:pt>
                    </c:strCache>
                  </c:strRef>
                </c:tx>
                <c:spPr>
                  <a:ln w="28575" cap="rnd">
                    <a:solidFill>
                      <a:schemeClr val="tx1">
                        <a:alpha val="0"/>
                      </a:schemeClr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numRef>
                    <c:extLst>
                      <c:ext xmlns:c15="http://schemas.microsoft.com/office/drawing/2012/chart" uri="{02D57815-91ED-43cb-92C2-25804820EDAC}">
                        <c15:formulaRef>
                          <c15:sqref>Workouts!$A$2:$A$15</c15:sqref>
                        </c15:formulaRef>
                      </c:ext>
                    </c:extLst>
                    <c:numCache>
                      <c:formatCode>m/d/yyyy</c:formatCode>
                      <c:ptCount val="14"/>
                    </c:numCache>
                  </c:num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ormulaRef>
                          <c15:sqref>Workouts!$M$2:$M$15</c15:sqref>
                        </c15:formulaRef>
                      </c:ext>
                    </c:extLst>
                    <c:numCache>
                      <c:formatCode>0</c:formatCode>
                      <c:ptCount val="14"/>
                      <c:pt idx="0">
                        <c:v>#N/A</c:v>
                      </c:pt>
                      <c:pt idx="1">
                        <c:v>#N/A</c:v>
                      </c:pt>
                      <c:pt idx="2">
                        <c:v>#N/A</c:v>
                      </c:pt>
                      <c:pt idx="3">
                        <c:v>#N/A</c:v>
                      </c:pt>
                      <c:pt idx="4">
                        <c:v>#N/A</c:v>
                      </c:pt>
                      <c:pt idx="5">
                        <c:v>#N/A</c:v>
                      </c:pt>
                      <c:pt idx="6">
                        <c:v>#N/A</c:v>
                      </c:pt>
                      <c:pt idx="7">
                        <c:v>#N/A</c:v>
                      </c:pt>
                      <c:pt idx="8">
                        <c:v>#N/A</c:v>
                      </c:pt>
                      <c:pt idx="9">
                        <c:v>#N/A</c:v>
                      </c:pt>
                      <c:pt idx="10">
                        <c:v>#N/A</c:v>
                      </c:pt>
                      <c:pt idx="11">
                        <c:v>#N/A</c:v>
                      </c:pt>
                      <c:pt idx="12">
                        <c:v>#N/A</c:v>
                      </c:pt>
                      <c:pt idx="13">
                        <c:v>#N/A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C-67C8-48C0-A835-D38785D07C55}"/>
                  </c:ext>
                </c:extLst>
              </c15:ser>
            </c15:filteredLineSeries>
            <c15:filteredLineSeries>
              <c15:ser>
                <c:idx val="12"/>
                <c:order val="12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Workouts!$N$1</c15:sqref>
                        </c15:formulaRef>
                      </c:ext>
                    </c:extLst>
                    <c:strCache>
                      <c:ptCount val="1"/>
                      <c:pt idx="0">
                        <c:v>% Minutes</c:v>
                      </c:pt>
                    </c:strCache>
                  </c:strRef>
                </c:tx>
                <c:spPr>
                  <a:ln w="28575" cap="rnd">
                    <a:solidFill>
                      <a:schemeClr val="accent1">
                        <a:lumMod val="80000"/>
                        <a:lumOff val="20000"/>
                      </a:schemeClr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1">
                        <a:lumMod val="80000"/>
                        <a:lumOff val="20000"/>
                      </a:schemeClr>
                    </a:solidFill>
                    <a:ln w="9525">
                      <a:solidFill>
                        <a:schemeClr val="accent1">
                          <a:lumMod val="80000"/>
                          <a:lumOff val="20000"/>
                        </a:schemeClr>
                      </a:solidFill>
                    </a:ln>
                    <a:effectLst/>
                  </c:spPr>
                </c:marker>
                <c:cat>
                  <c:numRef>
                    <c:extLst>
                      <c:ext xmlns:c15="http://schemas.microsoft.com/office/drawing/2012/chart" uri="{02D57815-91ED-43cb-92C2-25804820EDAC}">
                        <c15:formulaRef>
                          <c15:sqref>Workouts!$A$2:$A$15</c15:sqref>
                        </c15:formulaRef>
                      </c:ext>
                    </c:extLst>
                    <c:numCache>
                      <c:formatCode>m/d/yyyy</c:formatCode>
                      <c:ptCount val="14"/>
                    </c:numCache>
                  </c:num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ormulaRef>
                          <c15:sqref>Workouts!$N$2:$N$15</c15:sqref>
                        </c15:formulaRef>
                      </c:ext>
                    </c:extLst>
                    <c:numCache>
                      <c:formatCode>General</c:formatCode>
                      <c:ptCount val="14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0</c:v>
                      </c:pt>
                      <c:pt idx="13">
                        <c:v>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0-A095-4F98-9149-6D8D18B13CA0}"/>
                  </c:ext>
                </c:extLst>
              </c15:ser>
            </c15:filteredLineSeries>
            <c15:filteredLineSeries>
              <c15:ser>
                <c:idx val="13"/>
                <c:order val="13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Workouts!$O$1</c15:sqref>
                        </c15:formulaRef>
                      </c:ext>
                    </c:extLst>
                    <c:strCache>
                      <c:ptCount val="1"/>
                      <c:pt idx="0">
                        <c:v>Weighted avgSpeed</c:v>
                      </c:pt>
                    </c:strCache>
                  </c:strRef>
                </c:tx>
                <c:spPr>
                  <a:ln w="28575" cap="rnd">
                    <a:solidFill>
                      <a:schemeClr val="accent2">
                        <a:lumMod val="80000"/>
                        <a:lumOff val="20000"/>
                      </a:schemeClr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2">
                        <a:lumMod val="80000"/>
                        <a:lumOff val="20000"/>
                      </a:schemeClr>
                    </a:solidFill>
                    <a:ln w="9525">
                      <a:solidFill>
                        <a:schemeClr val="accent2">
                          <a:lumMod val="80000"/>
                          <a:lumOff val="20000"/>
                        </a:schemeClr>
                      </a:solidFill>
                    </a:ln>
                    <a:effectLst/>
                  </c:spPr>
                </c:marker>
                <c:cat>
                  <c:numRef>
                    <c:extLst>
                      <c:ext xmlns:c15="http://schemas.microsoft.com/office/drawing/2012/chart" uri="{02D57815-91ED-43cb-92C2-25804820EDAC}">
                        <c15:formulaRef>
                          <c15:sqref>Workouts!$A$2:$A$15</c15:sqref>
                        </c15:formulaRef>
                      </c:ext>
                    </c:extLst>
                    <c:numCache>
                      <c:formatCode>m/d/yyyy</c:formatCode>
                      <c:ptCount val="14"/>
                    </c:numCache>
                  </c:num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ormulaRef>
                          <c15:sqref>Workouts!$O$2:$O$15</c15:sqref>
                        </c15:formulaRef>
                      </c:ext>
                    </c:extLst>
                    <c:numCache>
                      <c:formatCode>General</c:formatCode>
                      <c:ptCount val="14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0</c:v>
                      </c:pt>
                      <c:pt idx="13">
                        <c:v>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1-A095-4F98-9149-6D8D18B13CA0}"/>
                  </c:ext>
                </c:extLst>
              </c15:ser>
            </c15:filteredLineSeries>
            <c15:filteredLineSeries>
              <c15:ser>
                <c:idx val="14"/>
                <c:order val="14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Workouts!$P$1</c15:sqref>
                        </c15:formulaRef>
                      </c:ext>
                    </c:extLst>
                    <c:strCache>
                      <c:ptCount val="1"/>
                      <c:pt idx="0">
                        <c:v>Weighted avgLevel</c:v>
                      </c:pt>
                    </c:strCache>
                  </c:strRef>
                </c:tx>
                <c:spPr>
                  <a:ln w="28575" cap="rnd">
                    <a:solidFill>
                      <a:schemeClr val="accent3">
                        <a:lumMod val="80000"/>
                        <a:lumOff val="20000"/>
                      </a:schemeClr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3">
                        <a:lumMod val="80000"/>
                        <a:lumOff val="20000"/>
                      </a:schemeClr>
                    </a:solidFill>
                    <a:ln w="9525">
                      <a:solidFill>
                        <a:schemeClr val="accent3">
                          <a:lumMod val="80000"/>
                          <a:lumOff val="20000"/>
                        </a:schemeClr>
                      </a:solidFill>
                    </a:ln>
                    <a:effectLst/>
                  </c:spPr>
                </c:marker>
                <c:cat>
                  <c:numRef>
                    <c:extLst>
                      <c:ext xmlns:c15="http://schemas.microsoft.com/office/drawing/2012/chart" uri="{02D57815-91ED-43cb-92C2-25804820EDAC}">
                        <c15:formulaRef>
                          <c15:sqref>Workouts!$A$2:$A$15</c15:sqref>
                        </c15:formulaRef>
                      </c:ext>
                    </c:extLst>
                    <c:numCache>
                      <c:formatCode>m/d/yyyy</c:formatCode>
                      <c:ptCount val="14"/>
                    </c:numCache>
                  </c:num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ormulaRef>
                          <c15:sqref>Workouts!$P$2:$P$15</c15:sqref>
                        </c15:formulaRef>
                      </c:ext>
                    </c:extLst>
                    <c:numCache>
                      <c:formatCode>General</c:formatCode>
                      <c:ptCount val="14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0</c:v>
                      </c:pt>
                      <c:pt idx="13">
                        <c:v>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A095-4F98-9149-6D8D18B13CA0}"/>
                  </c:ext>
                </c:extLst>
              </c15:ser>
            </c15:filteredLineSeries>
            <c15:filteredLineSeries>
              <c15:ser>
                <c:idx val="15"/>
                <c:order val="15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Workouts!$Q$1</c15:sqref>
                        </c15:formulaRef>
                      </c:ext>
                    </c:extLst>
                    <c:strCache>
                      <c:ptCount val="1"/>
                      <c:pt idx="0">
                        <c:v>Weighted avgRPM</c:v>
                      </c:pt>
                    </c:strCache>
                  </c:strRef>
                </c:tx>
                <c:spPr>
                  <a:ln w="28575" cap="rnd">
                    <a:solidFill>
                      <a:schemeClr val="accent4">
                        <a:lumMod val="80000"/>
                        <a:lumOff val="20000"/>
                      </a:schemeClr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4">
                        <a:lumMod val="80000"/>
                        <a:lumOff val="20000"/>
                      </a:schemeClr>
                    </a:solidFill>
                    <a:ln w="9525">
                      <a:solidFill>
                        <a:schemeClr val="accent4">
                          <a:lumMod val="80000"/>
                          <a:lumOff val="20000"/>
                        </a:schemeClr>
                      </a:solidFill>
                    </a:ln>
                    <a:effectLst/>
                  </c:spPr>
                </c:marker>
                <c:cat>
                  <c:numRef>
                    <c:extLst>
                      <c:ext xmlns:c15="http://schemas.microsoft.com/office/drawing/2012/chart" uri="{02D57815-91ED-43cb-92C2-25804820EDAC}">
                        <c15:formulaRef>
                          <c15:sqref>Workouts!$A$2:$A$15</c15:sqref>
                        </c15:formulaRef>
                      </c:ext>
                    </c:extLst>
                    <c:numCache>
                      <c:formatCode>m/d/yyyy</c:formatCode>
                      <c:ptCount val="14"/>
                    </c:numCache>
                  </c:num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ormulaRef>
                          <c15:sqref>Workouts!$Q$2:$Q$15</c15:sqref>
                        </c15:formulaRef>
                      </c:ext>
                    </c:extLst>
                    <c:numCache>
                      <c:formatCode>General</c:formatCode>
                      <c:ptCount val="14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0</c:v>
                      </c:pt>
                      <c:pt idx="13">
                        <c:v>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3-A095-4F98-9149-6D8D18B13CA0}"/>
                  </c:ext>
                </c:extLst>
              </c15:ser>
            </c15:filteredLineSeries>
            <c15:filteredLineSeries>
              <c15:ser>
                <c:idx val="16"/>
                <c:order val="16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Workouts!$R$1</c15:sqref>
                        </c15:formulaRef>
                      </c:ext>
                    </c:extLst>
                    <c:strCache>
                      <c:ptCount val="1"/>
                      <c:pt idx="0">
                        <c:v>MonthYear</c:v>
                      </c:pt>
                    </c:strCache>
                  </c:strRef>
                </c:tx>
                <c:spPr>
                  <a:ln w="28575" cap="rnd">
                    <a:solidFill>
                      <a:schemeClr val="accent5">
                        <a:lumMod val="80000"/>
                        <a:lumOff val="20000"/>
                      </a:schemeClr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5">
                        <a:lumMod val="80000"/>
                        <a:lumOff val="20000"/>
                      </a:schemeClr>
                    </a:solidFill>
                    <a:ln w="9525">
                      <a:solidFill>
                        <a:schemeClr val="accent5">
                          <a:lumMod val="80000"/>
                          <a:lumOff val="20000"/>
                        </a:schemeClr>
                      </a:solidFill>
                    </a:ln>
                    <a:effectLst/>
                  </c:spPr>
                </c:marker>
                <c:cat>
                  <c:numRef>
                    <c:extLst>
                      <c:ext xmlns:c15="http://schemas.microsoft.com/office/drawing/2012/chart" uri="{02D57815-91ED-43cb-92C2-25804820EDAC}">
                        <c15:formulaRef>
                          <c15:sqref>Workouts!$A$2:$A$15</c15:sqref>
                        </c15:formulaRef>
                      </c:ext>
                    </c:extLst>
                    <c:numCache>
                      <c:formatCode>m/d/yyyy</c:formatCode>
                      <c:ptCount val="14"/>
                    </c:numCache>
                  </c:num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ormulaRef>
                          <c15:sqref>Workouts!$R$2:$R$15</c15:sqref>
                        </c15:formulaRef>
                      </c:ext>
                    </c:extLst>
                    <c:numCache>
                      <c:formatCode>General</c:formatCode>
                      <c:ptCount val="14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0</c:v>
                      </c:pt>
                      <c:pt idx="13">
                        <c:v>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4-A095-4F98-9149-6D8D18B13CA0}"/>
                  </c:ext>
                </c:extLst>
              </c15:ser>
            </c15:filteredLineSeries>
            <c15:filteredLineSeries>
              <c15:ser>
                <c:idx val="17"/>
                <c:order val="17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Workouts!$S$1</c15:sqref>
                        </c15:formulaRef>
                      </c:ext>
                    </c:extLst>
                    <c:strCache>
                      <c:ptCount val="1"/>
                      <c:pt idx="0">
                        <c:v>MTD Calories</c:v>
                      </c:pt>
                    </c:strCache>
                  </c:strRef>
                </c:tx>
                <c:spPr>
                  <a:ln w="28575" cap="rnd">
                    <a:solidFill>
                      <a:schemeClr val="accent6">
                        <a:lumMod val="80000"/>
                        <a:lumOff val="20000"/>
                      </a:schemeClr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6">
                        <a:lumMod val="80000"/>
                        <a:lumOff val="20000"/>
                      </a:schemeClr>
                    </a:solidFill>
                    <a:ln w="9525">
                      <a:solidFill>
                        <a:schemeClr val="accent6">
                          <a:lumMod val="80000"/>
                          <a:lumOff val="20000"/>
                        </a:schemeClr>
                      </a:solidFill>
                    </a:ln>
                    <a:effectLst/>
                  </c:spPr>
                </c:marker>
                <c:cat>
                  <c:numRef>
                    <c:extLst>
                      <c:ext xmlns:c15="http://schemas.microsoft.com/office/drawing/2012/chart" uri="{02D57815-91ED-43cb-92C2-25804820EDAC}">
                        <c15:formulaRef>
                          <c15:sqref>Workouts!$A$2:$A$15</c15:sqref>
                        </c15:formulaRef>
                      </c:ext>
                    </c:extLst>
                    <c:numCache>
                      <c:formatCode>m/d/yyyy</c:formatCode>
                      <c:ptCount val="14"/>
                    </c:numCache>
                  </c:num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ormulaRef>
                          <c15:sqref>Workouts!$S$2:$S$15</c15:sqref>
                        </c15:formulaRef>
                      </c:ext>
                    </c:extLst>
                    <c:numCache>
                      <c:formatCode>General</c:formatCode>
                      <c:ptCount val="14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0</c:v>
                      </c:pt>
                      <c:pt idx="13">
                        <c:v>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1-31DE-43F1-AF25-3F34839779A2}"/>
                  </c:ext>
                </c:extLst>
              </c15:ser>
            </c15:filteredLineSeries>
            <c15:filteredLineSeries>
              <c15:ser>
                <c:idx val="18"/>
                <c:order val="18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Workouts!$T$1</c15:sqref>
                        </c15:formulaRef>
                      </c:ext>
                    </c:extLst>
                    <c:strCache>
                      <c:ptCount val="1"/>
                      <c:pt idx="0">
                        <c:v>MTD Workouts</c:v>
                      </c:pt>
                    </c:strCache>
                  </c:strRef>
                </c:tx>
                <c:spPr>
                  <a:ln w="28575" cap="rnd">
                    <a:solidFill>
                      <a:schemeClr val="accent1">
                        <a:lumMod val="80000"/>
                      </a:schemeClr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1">
                        <a:lumMod val="80000"/>
                      </a:schemeClr>
                    </a:solidFill>
                    <a:ln w="9525">
                      <a:solidFill>
                        <a:schemeClr val="accent1">
                          <a:lumMod val="80000"/>
                        </a:schemeClr>
                      </a:solidFill>
                    </a:ln>
                    <a:effectLst/>
                  </c:spPr>
                </c:marker>
                <c:cat>
                  <c:numRef>
                    <c:extLst>
                      <c:ext xmlns:c15="http://schemas.microsoft.com/office/drawing/2012/chart" uri="{02D57815-91ED-43cb-92C2-25804820EDAC}">
                        <c15:formulaRef>
                          <c15:sqref>Workouts!$A$2:$A$15</c15:sqref>
                        </c15:formulaRef>
                      </c:ext>
                    </c:extLst>
                    <c:numCache>
                      <c:formatCode>m/d/yyyy</c:formatCode>
                      <c:ptCount val="14"/>
                    </c:numCache>
                  </c:num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ormulaRef>
                          <c15:sqref>Workouts!$T$2:$T$15</c15:sqref>
                        </c15:formulaRef>
                      </c:ext>
                    </c:extLst>
                    <c:numCache>
                      <c:formatCode>General</c:formatCode>
                      <c:ptCount val="14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0</c:v>
                      </c:pt>
                      <c:pt idx="13">
                        <c:v>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31DE-43F1-AF25-3F34839779A2}"/>
                  </c:ext>
                </c:extLst>
              </c15:ser>
            </c15:filteredLineSeries>
            <c15:filteredLineSeries>
              <c15:ser>
                <c:idx val="19"/>
                <c:order val="19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Workouts!$U$1</c15:sqref>
                        </c15:formulaRef>
                      </c:ext>
                    </c:extLst>
                    <c:strCache>
                      <c:ptCount val="1"/>
                      <c:pt idx="0">
                        <c:v>This Month</c:v>
                      </c:pt>
                    </c:strCache>
                  </c:strRef>
                </c:tx>
                <c:spPr>
                  <a:ln w="28575" cap="rnd">
                    <a:solidFill>
                      <a:schemeClr val="accent2">
                        <a:lumMod val="80000"/>
                      </a:schemeClr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2">
                        <a:lumMod val="80000"/>
                      </a:schemeClr>
                    </a:solidFill>
                    <a:ln w="9525">
                      <a:solidFill>
                        <a:schemeClr val="accent2">
                          <a:lumMod val="80000"/>
                        </a:schemeClr>
                      </a:solidFill>
                    </a:ln>
                    <a:effectLst/>
                  </c:spPr>
                </c:marker>
                <c:cat>
                  <c:numRef>
                    <c:extLst>
                      <c:ext xmlns:c15="http://schemas.microsoft.com/office/drawing/2012/chart" uri="{02D57815-91ED-43cb-92C2-25804820EDAC}">
                        <c15:formulaRef>
                          <c15:sqref>Workouts!$A$2:$A$15</c15:sqref>
                        </c15:formulaRef>
                      </c:ext>
                    </c:extLst>
                    <c:numCache>
                      <c:formatCode>m/d/yyyy</c:formatCode>
                      <c:ptCount val="14"/>
                    </c:numCache>
                  </c:num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ormulaRef>
                          <c15:sqref>Workouts!$U$2:$U$15</c15:sqref>
                        </c15:formulaRef>
                      </c:ext>
                    </c:extLst>
                    <c:numCache>
                      <c:formatCode>General</c:formatCode>
                      <c:ptCount val="14"/>
                      <c:pt idx="0">
                        <c:v>1</c:v>
                      </c:pt>
                      <c:pt idx="1">
                        <c:v>1</c:v>
                      </c:pt>
                      <c:pt idx="2">
                        <c:v>1</c:v>
                      </c:pt>
                      <c:pt idx="3">
                        <c:v>1</c:v>
                      </c:pt>
                      <c:pt idx="4">
                        <c:v>1</c:v>
                      </c:pt>
                      <c:pt idx="5">
                        <c:v>1</c:v>
                      </c:pt>
                      <c:pt idx="6">
                        <c:v>1</c:v>
                      </c:pt>
                      <c:pt idx="7">
                        <c:v>1</c:v>
                      </c:pt>
                      <c:pt idx="8">
                        <c:v>1</c:v>
                      </c:pt>
                      <c:pt idx="9">
                        <c:v>1</c:v>
                      </c:pt>
                      <c:pt idx="10">
                        <c:v>1</c:v>
                      </c:pt>
                      <c:pt idx="11">
                        <c:v>1</c:v>
                      </c:pt>
                      <c:pt idx="12">
                        <c:v>1</c:v>
                      </c:pt>
                      <c:pt idx="13">
                        <c:v>1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3-31DE-43F1-AF25-3F34839779A2}"/>
                  </c:ext>
                </c:extLst>
              </c15:ser>
            </c15:filteredLineSeries>
            <c15:filteredLineSeries>
              <c15:ser>
                <c:idx val="20"/>
                <c:order val="20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Workouts!$V$1</c15:sqref>
                        </c15:formulaRef>
                      </c:ext>
                    </c:extLst>
                    <c:strCache>
                      <c:ptCount val="1"/>
                      <c:pt idx="0">
                        <c:v>Last Month</c:v>
                      </c:pt>
                    </c:strCache>
                  </c:strRef>
                </c:tx>
                <c:spPr>
                  <a:ln w="28575" cap="rnd">
                    <a:solidFill>
                      <a:schemeClr val="accent3">
                        <a:lumMod val="80000"/>
                      </a:schemeClr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3">
                        <a:lumMod val="80000"/>
                      </a:schemeClr>
                    </a:solidFill>
                    <a:ln w="9525">
                      <a:solidFill>
                        <a:schemeClr val="accent3">
                          <a:lumMod val="80000"/>
                        </a:schemeClr>
                      </a:solidFill>
                    </a:ln>
                    <a:effectLst/>
                  </c:spPr>
                </c:marker>
                <c:cat>
                  <c:numRef>
                    <c:extLst>
                      <c:ext xmlns:c15="http://schemas.microsoft.com/office/drawing/2012/chart" uri="{02D57815-91ED-43cb-92C2-25804820EDAC}">
                        <c15:formulaRef>
                          <c15:sqref>Workouts!$A$2:$A$15</c15:sqref>
                        </c15:formulaRef>
                      </c:ext>
                    </c:extLst>
                    <c:numCache>
                      <c:formatCode>m/d/yyyy</c:formatCode>
                      <c:ptCount val="14"/>
                    </c:numCache>
                  </c:num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ormulaRef>
                          <c15:sqref>Workouts!$V$2:$V$15</c15:sqref>
                        </c15:formulaRef>
                      </c:ext>
                    </c:extLst>
                    <c:numCache>
                      <c:formatCode>General</c:formatCode>
                      <c:ptCount val="14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0</c:v>
                      </c:pt>
                      <c:pt idx="13">
                        <c:v>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4-31DE-43F1-AF25-3F34839779A2}"/>
                  </c:ext>
                </c:extLst>
              </c15:ser>
            </c15:filteredLineSeries>
            <c15:filteredLineSeries>
              <c15:ser>
                <c:idx val="21"/>
                <c:order val="21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Workouts!$W$1</c15:sqref>
                        </c15:formulaRef>
                      </c:ext>
                    </c:extLst>
                    <c:strCache>
                      <c:ptCount val="1"/>
                      <c:pt idx="0">
                        <c:v>Day</c:v>
                      </c:pt>
                    </c:strCache>
                  </c:strRef>
                </c:tx>
                <c:spPr>
                  <a:ln w="28575" cap="rnd">
                    <a:solidFill>
                      <a:schemeClr val="accent4">
                        <a:lumMod val="80000"/>
                      </a:schemeClr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4">
                        <a:lumMod val="80000"/>
                      </a:schemeClr>
                    </a:solidFill>
                    <a:ln w="9525">
                      <a:solidFill>
                        <a:schemeClr val="accent4">
                          <a:lumMod val="80000"/>
                        </a:schemeClr>
                      </a:solidFill>
                    </a:ln>
                    <a:effectLst/>
                  </c:spPr>
                </c:marker>
                <c:cat>
                  <c:numRef>
                    <c:extLst>
                      <c:ext xmlns:c15="http://schemas.microsoft.com/office/drawing/2012/chart" uri="{02D57815-91ED-43cb-92C2-25804820EDAC}">
                        <c15:formulaRef>
                          <c15:sqref>Workouts!$A$2:$A$15</c15:sqref>
                        </c15:formulaRef>
                      </c:ext>
                    </c:extLst>
                    <c:numCache>
                      <c:formatCode>m/d/yyyy</c:formatCode>
                      <c:ptCount val="14"/>
                    </c:numCache>
                  </c:num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ormulaRef>
                          <c15:sqref>Workouts!$W$2:$W$15</c15:sqref>
                        </c15:formulaRef>
                      </c:ext>
                    </c:extLst>
                    <c:numCache>
                      <c:formatCode>General</c:formatCode>
                      <c:ptCount val="14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0</c:v>
                      </c:pt>
                      <c:pt idx="13">
                        <c:v>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5-31DE-43F1-AF25-3F34839779A2}"/>
                  </c:ext>
                </c:extLst>
              </c15:ser>
            </c15:filteredLineSeries>
            <c15:filteredLineSeries>
              <c15:ser>
                <c:idx val="22"/>
                <c:order val="22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Workouts!$X$1</c15:sqref>
                        </c15:formulaRef>
                      </c:ext>
                    </c:extLst>
                    <c:strCache>
                      <c:ptCount val="1"/>
                      <c:pt idx="0">
                        <c:v>Two Months Ago</c:v>
                      </c:pt>
                    </c:strCache>
                  </c:strRef>
                </c:tx>
                <c:spPr>
                  <a:ln w="28575" cap="rnd">
                    <a:solidFill>
                      <a:schemeClr val="accent5">
                        <a:lumMod val="80000"/>
                      </a:schemeClr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5">
                        <a:lumMod val="80000"/>
                      </a:schemeClr>
                    </a:solidFill>
                    <a:ln w="9525">
                      <a:solidFill>
                        <a:schemeClr val="accent5">
                          <a:lumMod val="80000"/>
                        </a:schemeClr>
                      </a:solidFill>
                    </a:ln>
                    <a:effectLst/>
                  </c:spPr>
                </c:marker>
                <c:cat>
                  <c:numRef>
                    <c:extLst>
                      <c:ext xmlns:c15="http://schemas.microsoft.com/office/drawing/2012/chart" uri="{02D57815-91ED-43cb-92C2-25804820EDAC}">
                        <c15:formulaRef>
                          <c15:sqref>Workouts!$A$2:$A$15</c15:sqref>
                        </c15:formulaRef>
                      </c:ext>
                    </c:extLst>
                    <c:numCache>
                      <c:formatCode>m/d/yyyy</c:formatCode>
                      <c:ptCount val="14"/>
                    </c:numCache>
                  </c:num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ormulaRef>
                          <c15:sqref>Workouts!$X$2:$X$15</c15:sqref>
                        </c15:formulaRef>
                      </c:ext>
                    </c:extLst>
                    <c:numCache>
                      <c:formatCode>General</c:formatCode>
                      <c:ptCount val="14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0</c:v>
                      </c:pt>
                      <c:pt idx="13">
                        <c:v>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0-7475-432F-AEC8-2F002531387D}"/>
                  </c:ext>
                </c:extLst>
              </c15:ser>
            </c15:filteredLineSeries>
            <c15:filteredLineSeries>
              <c15:ser>
                <c:idx val="23"/>
                <c:order val="23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Workouts!$Y$1</c15:sqref>
                        </c15:formulaRef>
                      </c:ext>
                    </c:extLst>
                    <c:strCache>
                      <c:ptCount val="1"/>
                      <c:pt idx="0">
                        <c:v>Month Total</c:v>
                      </c:pt>
                    </c:strCache>
                  </c:strRef>
                </c:tx>
                <c:spPr>
                  <a:ln w="28575" cap="rnd">
                    <a:solidFill>
                      <a:schemeClr val="accent6">
                        <a:lumMod val="80000"/>
                      </a:schemeClr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6">
                        <a:lumMod val="80000"/>
                      </a:schemeClr>
                    </a:solidFill>
                    <a:ln w="9525">
                      <a:solidFill>
                        <a:schemeClr val="accent6">
                          <a:lumMod val="80000"/>
                        </a:schemeClr>
                      </a:solidFill>
                    </a:ln>
                    <a:effectLst/>
                  </c:spPr>
                </c:marker>
                <c:cat>
                  <c:numRef>
                    <c:extLst>
                      <c:ext xmlns:c15="http://schemas.microsoft.com/office/drawing/2012/chart" uri="{02D57815-91ED-43cb-92C2-25804820EDAC}">
                        <c15:formulaRef>
                          <c15:sqref>Workouts!$A$2:$A$15</c15:sqref>
                        </c15:formulaRef>
                      </c:ext>
                    </c:extLst>
                    <c:numCache>
                      <c:formatCode>m/d/yyyy</c:formatCode>
                      <c:ptCount val="14"/>
                    </c:numCache>
                  </c:num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ormulaRef>
                          <c15:sqref>Workouts!$Y$2:$Y$15</c15:sqref>
                        </c15:formulaRef>
                      </c:ext>
                    </c:extLst>
                    <c:numCache>
                      <c:formatCode>General</c:formatCode>
                      <c:ptCount val="14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0</c:v>
                      </c:pt>
                      <c:pt idx="13">
                        <c:v>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0-8CD6-43CC-A14F-84A0596D4AE4}"/>
                  </c:ext>
                </c:extLst>
              </c15:ser>
            </c15:filteredLineSeries>
          </c:ext>
        </c:extLst>
      </c:lineChart>
      <c:catAx>
        <c:axId val="1305923808"/>
        <c:scaling>
          <c:orientation val="minMax"/>
        </c:scaling>
        <c:delete val="0"/>
        <c:axPos val="b"/>
        <c:numFmt formatCode="m/d/yy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85000"/>
                <a:lumOff val="15000"/>
              </a:schemeClr>
            </a:solidFill>
            <a:round/>
          </a:ln>
          <a:effectLst/>
        </c:spPr>
        <c:txPr>
          <a:bodyPr rot="-162000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chemeClr val="bg1"/>
                </a:solidFill>
                <a:effectLst>
                  <a:glow rad="76200">
                    <a:schemeClr val="accent1">
                      <a:alpha val="40000"/>
                    </a:schemeClr>
                  </a:glow>
                </a:effectLst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9691296"/>
        <c:crosses val="autoZero"/>
        <c:auto val="0"/>
        <c:lblAlgn val="ctr"/>
        <c:lblOffset val="100"/>
        <c:tickLblSkip val="2"/>
        <c:noMultiLvlLbl val="0"/>
      </c:catAx>
      <c:valAx>
        <c:axId val="1496912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85000"/>
                  <a:lumOff val="1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effectLst>
                      <a:glow rad="76200">
                        <a:srgbClr val="CC0066">
                          <a:alpha val="40000"/>
                        </a:srgbClr>
                      </a:glow>
                    </a:effectLst>
                    <a:latin typeface="+mn-lt"/>
                    <a:ea typeface="+mn-ea"/>
                    <a:cs typeface="+mn-cs"/>
                  </a:defRPr>
                </a:pPr>
                <a:r>
                  <a:rPr lang="en-US" sz="1100" b="1" i="0" u="none" strike="noStrike" kern="1200" baseline="0">
                    <a:solidFill>
                      <a:srgbClr val="CC0066"/>
                    </a:solidFill>
                    <a:effectLst>
                      <a:glow rad="101600">
                        <a:schemeClr val="accent5">
                          <a:lumMod val="75000"/>
                          <a:alpha val="40000"/>
                        </a:schemeClr>
                      </a:glow>
                    </a:effectLst>
                  </a:rPr>
                  <a:t>Distance </a:t>
                </a:r>
                <a:r>
                  <a:rPr lang="en-US" sz="1100" b="1" i="0" u="none" strike="noStrike" kern="1200" baseline="0">
                    <a:solidFill>
                      <a:schemeClr val="bg1"/>
                    </a:solidFill>
                    <a:effectLst>
                      <a:glow rad="101600">
                        <a:schemeClr val="accent5">
                          <a:lumMod val="75000"/>
                          <a:alpha val="40000"/>
                        </a:schemeClr>
                      </a:glow>
                    </a:effectLst>
                  </a:rPr>
                  <a:t>+</a:t>
                </a:r>
                <a:r>
                  <a:rPr lang="en-US" sz="1100" b="1" i="0" u="none" strike="noStrike" kern="1200" baseline="0">
                    <a:solidFill>
                      <a:schemeClr val="tx1"/>
                    </a:solidFill>
                    <a:effectLst>
                      <a:glow rad="101600">
                        <a:schemeClr val="accent5">
                          <a:lumMod val="75000"/>
                          <a:alpha val="40000"/>
                        </a:schemeClr>
                      </a:glow>
                    </a:effectLst>
                  </a:rPr>
                  <a:t> </a:t>
                </a:r>
                <a:r>
                  <a:rPr lang="en-US" sz="1100" b="1" i="0" u="none" strike="noStrike" kern="1200" baseline="0">
                    <a:solidFill>
                      <a:srgbClr val="FFFFCC"/>
                    </a:solidFill>
                    <a:effectLst>
                      <a:glow rad="101600">
                        <a:schemeClr val="accent5">
                          <a:lumMod val="75000"/>
                          <a:alpha val="40000"/>
                        </a:schemeClr>
                      </a:glow>
                    </a:effectLst>
                  </a:rPr>
                  <a:t>Avg </a:t>
                </a:r>
                <a:r>
                  <a:rPr lang="en-US" sz="1100" b="1" baseline="0">
                    <a:solidFill>
                      <a:srgbClr val="FFFFCC"/>
                    </a:solidFill>
                    <a:effectLst>
                      <a:glow rad="101600">
                        <a:schemeClr val="accent5">
                          <a:lumMod val="75000"/>
                          <a:alpha val="40000"/>
                        </a:schemeClr>
                      </a:glow>
                    </a:effectLst>
                  </a:rPr>
                  <a:t>Level </a:t>
                </a:r>
                <a:r>
                  <a:rPr lang="en-US" sz="1100" b="1" i="0" u="none" strike="noStrike" kern="1200" baseline="0">
                    <a:solidFill>
                      <a:schemeClr val="bg1"/>
                    </a:solidFill>
                    <a:effectLst>
                      <a:glow rad="101600">
                        <a:schemeClr val="accent5">
                          <a:lumMod val="75000"/>
                          <a:alpha val="40000"/>
                        </a:schemeClr>
                      </a:glow>
                    </a:effectLst>
                  </a:rPr>
                  <a:t>+</a:t>
                </a:r>
                <a:r>
                  <a:rPr lang="en-US" sz="1100" b="1" i="0" u="none" strike="noStrike" kern="1200" baseline="0">
                    <a:solidFill>
                      <a:schemeClr val="tx1"/>
                    </a:solidFill>
                    <a:effectLst>
                      <a:glow rad="101600">
                        <a:schemeClr val="accent5">
                          <a:lumMod val="75000"/>
                          <a:alpha val="40000"/>
                        </a:schemeClr>
                      </a:glow>
                    </a:effectLst>
                  </a:rPr>
                  <a:t> </a:t>
                </a:r>
                <a:r>
                  <a:rPr lang="en-US" sz="1100" b="1" i="0" u="none" strike="noStrike" kern="1200" baseline="0">
                    <a:solidFill>
                      <a:srgbClr val="33CC33"/>
                    </a:solidFill>
                    <a:effectLst>
                      <a:glow rad="101600">
                        <a:schemeClr val="accent5">
                          <a:lumMod val="75000"/>
                          <a:alpha val="40000"/>
                        </a:schemeClr>
                      </a:glow>
                    </a:effectLst>
                  </a:rPr>
                  <a:t>Minutes</a:t>
                </a:r>
                <a:r>
                  <a:rPr lang="en-US" sz="1100" b="1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effectLst>
                      <a:glow rad="101600">
                        <a:schemeClr val="accent5">
                          <a:lumMod val="75000"/>
                          <a:alpha val="40000"/>
                        </a:schemeClr>
                      </a:glow>
                    </a:effectLst>
                  </a:rPr>
                  <a:t>  </a:t>
                </a:r>
                <a:r>
                  <a:rPr lang="en-US" sz="1100" b="1" baseline="0">
                    <a:solidFill>
                      <a:schemeClr val="tx1"/>
                    </a:solidFill>
                    <a:effectLst>
                      <a:glow rad="101600">
                        <a:schemeClr val="accent5">
                          <a:lumMod val="75000"/>
                          <a:alpha val="40000"/>
                        </a:schemeClr>
                      </a:glow>
                    </a:effectLst>
                  </a:rPr>
                  <a:t>  </a:t>
                </a:r>
                <a:endParaRPr lang="en-US" sz="1100" b="1">
                  <a:solidFill>
                    <a:srgbClr val="CC0066"/>
                  </a:solidFill>
                  <a:effectLst>
                    <a:glow rad="101600">
                      <a:schemeClr val="accent5">
                        <a:lumMod val="75000"/>
                        <a:alpha val="40000"/>
                      </a:schemeClr>
                    </a:glow>
                  </a:effectLst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effectLst>
                    <a:glow rad="76200">
                      <a:srgbClr val="CC0066">
                        <a:alpha val="40000"/>
                      </a:srgbClr>
                    </a:glow>
                  </a:effectLst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alpha val="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05923808"/>
        <c:crosses val="autoZero"/>
        <c:crossBetween val="between"/>
      </c:valAx>
      <c:valAx>
        <c:axId val="217826160"/>
        <c:scaling>
          <c:orientation val="minMax"/>
        </c:scaling>
        <c:delete val="0"/>
        <c:axPos val="r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ln>
                      <a:noFill/>
                    </a:ln>
                    <a:solidFill>
                      <a:srgbClr val="33CCFF"/>
                    </a:solidFill>
                    <a:effectLst>
                      <a:glow rad="76200">
                        <a:schemeClr val="accent5">
                          <a:lumMod val="75000"/>
                          <a:alpha val="40000"/>
                        </a:schemeClr>
                      </a:glow>
                    </a:effectLst>
                    <a:latin typeface="+mn-lt"/>
                    <a:ea typeface="+mn-ea"/>
                    <a:cs typeface="+mn-cs"/>
                  </a:defRPr>
                </a:pPr>
                <a:r>
                  <a:rPr lang="en-US" sz="1600" b="1" baseline="0">
                    <a:ln>
                      <a:noFill/>
                    </a:ln>
                    <a:solidFill>
                      <a:srgbClr val="33CCFF"/>
                    </a:solidFill>
                    <a:effectLst>
                      <a:glow rad="76200">
                        <a:schemeClr val="accent5">
                          <a:lumMod val="75000"/>
                          <a:alpha val="40000"/>
                        </a:schemeClr>
                      </a:glow>
                    </a:effectLst>
                  </a:rPr>
                  <a:t> </a:t>
                </a:r>
                <a:r>
                  <a:rPr lang="en-US" sz="1600" b="1" baseline="0">
                    <a:ln>
                      <a:noFill/>
                    </a:ln>
                    <a:solidFill>
                      <a:srgbClr val="33CCFF"/>
                    </a:solidFill>
                    <a:effectLst>
                      <a:glow rad="101600">
                        <a:schemeClr val="accent5">
                          <a:lumMod val="75000"/>
                          <a:alpha val="40000"/>
                        </a:schemeClr>
                      </a:glow>
                    </a:effectLst>
                  </a:rPr>
                  <a:t>Calories</a:t>
                </a:r>
                <a:endParaRPr lang="en-US" b="1">
                  <a:ln>
                    <a:noFill/>
                  </a:ln>
                  <a:solidFill>
                    <a:srgbClr val="33CCFF"/>
                  </a:solidFill>
                  <a:effectLst>
                    <a:glow rad="101600">
                      <a:schemeClr val="accent5">
                        <a:lumMod val="75000"/>
                        <a:alpha val="40000"/>
                      </a:schemeClr>
                    </a:glow>
                  </a:effectLst>
                </a:endParaRPr>
              </a:p>
            </c:rich>
          </c:tx>
          <c:layout>
            <c:manualLayout>
              <c:xMode val="edge"/>
              <c:yMode val="edge"/>
              <c:x val="0.94765108437220313"/>
              <c:y val="0.2503956522163354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ln>
                    <a:noFill/>
                  </a:ln>
                  <a:solidFill>
                    <a:srgbClr val="33CCFF"/>
                  </a:solidFill>
                  <a:effectLst>
                    <a:glow rad="76200">
                      <a:schemeClr val="accent5">
                        <a:lumMod val="75000"/>
                        <a:alpha val="40000"/>
                      </a:schemeClr>
                    </a:glow>
                  </a:effectLst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alpha val="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9522640"/>
        <c:crosses val="max"/>
        <c:crossBetween val="between"/>
      </c:valAx>
      <c:catAx>
        <c:axId val="139522640"/>
        <c:scaling>
          <c:orientation val="minMax"/>
        </c:scaling>
        <c:delete val="1"/>
        <c:axPos val="b"/>
        <c:numFmt formatCode="m/d/yyyy" sourceLinked="1"/>
        <c:majorTickMark val="out"/>
        <c:minorTickMark val="none"/>
        <c:tickLblPos val="nextTo"/>
        <c:crossAx val="217826160"/>
        <c:crosses val="autoZero"/>
        <c:auto val="1"/>
        <c:lblAlgn val="ctr"/>
        <c:lblOffset val="100"/>
        <c:tickLblSkip val="1"/>
        <c:tickMarkSkip val="1"/>
        <c:noMultiLvlLbl val="1"/>
      </c:catAx>
      <c:spPr>
        <a:solidFill>
          <a:schemeClr val="tx1">
            <a:alpha val="0"/>
          </a:schemeClr>
        </a:solidFill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 flip="none" rotWithShape="1">
      <a:gsLst>
        <a:gs pos="0">
          <a:schemeClr val="tx1"/>
        </a:gs>
        <a:gs pos="52000">
          <a:schemeClr val="tx2">
            <a:lumMod val="75000"/>
          </a:schemeClr>
        </a:gs>
        <a:gs pos="100000">
          <a:schemeClr val="tx1"/>
        </a:gs>
      </a:gsLst>
      <a:lin ang="10800000" scaled="1"/>
      <a:tileRect/>
    </a:gra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3"/>
          <c:order val="0"/>
          <c:tx>
            <c:strRef>
              <c:f>Workouts!$AF$1</c:f>
              <c:strCache>
                <c:ptCount val="1"/>
                <c:pt idx="0">
                  <c:v>Top Month</c:v>
                </c:pt>
              </c:strCache>
            </c:strRef>
          </c:tx>
          <c:spPr>
            <a:ln w="19050" cap="rnd">
              <a:solidFill>
                <a:srgbClr val="33CCFF"/>
              </a:solidFill>
              <a:prstDash val="sysDot"/>
              <a:round/>
            </a:ln>
            <a:effectLst>
              <a:glow rad="76200">
                <a:srgbClr val="33CCFF">
                  <a:alpha val="30000"/>
                </a:srgbClr>
              </a:glow>
            </a:effectLst>
          </c:spPr>
          <c:marker>
            <c:symbol val="none"/>
          </c:marker>
          <c:val>
            <c:numRef>
              <c:f>Workouts!$AF$2:$AF$4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BFB-4D83-9BA2-38E9E1E39FE7}"/>
            </c:ext>
          </c:extLst>
        </c:ser>
        <c:ser>
          <c:idx val="2"/>
          <c:order val="1"/>
          <c:tx>
            <c:strRef>
              <c:f>Workouts!$AE$1</c:f>
              <c:strCache>
                <c:ptCount val="1"/>
                <c:pt idx="0">
                  <c:v>Two months ago</c:v>
                </c:pt>
              </c:strCache>
            </c:strRef>
          </c:tx>
          <c:spPr>
            <a:ln w="28575" cap="rnd">
              <a:solidFill>
                <a:srgbClr val="33CC33"/>
              </a:solidFill>
              <a:prstDash val="sysDash"/>
              <a:round/>
            </a:ln>
            <a:effectLst>
              <a:glow rad="88900">
                <a:srgbClr val="33CC33">
                  <a:alpha val="33000"/>
                </a:srgbClr>
              </a:glow>
            </a:effectLst>
          </c:spPr>
          <c:marker>
            <c:symbol val="none"/>
          </c:marker>
          <c:cat>
            <c:numRef>
              <c:f>Workouts!$AB$2:$AB$4</c:f>
              <c:numCache>
                <c:formatCode>General</c:formatCode>
                <c:ptCount val="3"/>
                <c:pt idx="0">
                  <c:v>1</c:v>
                </c:pt>
                <c:pt idx="1">
                  <c:v>2</c:v>
                </c:pt>
                <c:pt idx="2">
                  <c:v>15</c:v>
                </c:pt>
              </c:numCache>
            </c:numRef>
          </c:cat>
          <c:val>
            <c:numRef>
              <c:f>Workouts!$AE$2:$AE$4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340-40CC-ACBC-F95D8AEAA6EB}"/>
            </c:ext>
          </c:extLst>
        </c:ser>
        <c:ser>
          <c:idx val="1"/>
          <c:order val="2"/>
          <c:tx>
            <c:strRef>
              <c:f>Workouts!$AD$1</c:f>
              <c:strCache>
                <c:ptCount val="1"/>
                <c:pt idx="0">
                  <c:v>Last Month</c:v>
                </c:pt>
              </c:strCache>
            </c:strRef>
          </c:tx>
          <c:spPr>
            <a:ln w="28575" cap="rnd">
              <a:solidFill>
                <a:srgbClr val="FFFFCC"/>
              </a:solidFill>
              <a:prstDash val="sysDash"/>
              <a:round/>
            </a:ln>
            <a:effectLst>
              <a:glow rad="88900">
                <a:srgbClr val="FFFFCC">
                  <a:alpha val="33000"/>
                </a:srgbClr>
              </a:glow>
            </a:effectLst>
          </c:spPr>
          <c:marker>
            <c:symbol val="none"/>
          </c:marker>
          <c:cat>
            <c:numRef>
              <c:f>Workouts!$AB$2:$AB$4</c:f>
              <c:numCache>
                <c:formatCode>General</c:formatCode>
                <c:ptCount val="3"/>
                <c:pt idx="0">
                  <c:v>1</c:v>
                </c:pt>
                <c:pt idx="1">
                  <c:v>2</c:v>
                </c:pt>
                <c:pt idx="2">
                  <c:v>15</c:v>
                </c:pt>
              </c:numCache>
            </c:numRef>
          </c:cat>
          <c:val>
            <c:numRef>
              <c:f>Workouts!$AD$2:$AD$4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DEE-47C1-A390-312857BB52BB}"/>
            </c:ext>
          </c:extLst>
        </c:ser>
        <c:ser>
          <c:idx val="0"/>
          <c:order val="3"/>
          <c:tx>
            <c:strRef>
              <c:f>Workouts!$AC$1</c:f>
              <c:strCache>
                <c:ptCount val="1"/>
                <c:pt idx="0">
                  <c:v>This Month</c:v>
                </c:pt>
              </c:strCache>
            </c:strRef>
          </c:tx>
          <c:spPr>
            <a:ln w="28575" cap="rnd">
              <a:solidFill>
                <a:srgbClr val="CC0066"/>
              </a:solidFill>
              <a:prstDash val="sysDash"/>
              <a:round/>
            </a:ln>
            <a:effectLst>
              <a:glow rad="88900">
                <a:srgbClr val="CC0066">
                  <a:alpha val="34000"/>
                </a:srgbClr>
              </a:glow>
            </a:effectLst>
          </c:spPr>
          <c:marker>
            <c:symbol val="none"/>
          </c:marker>
          <c:cat>
            <c:numRef>
              <c:f>Workouts!$AB$2:$AB$4</c:f>
              <c:numCache>
                <c:formatCode>General</c:formatCode>
                <c:ptCount val="3"/>
                <c:pt idx="0">
                  <c:v>1</c:v>
                </c:pt>
                <c:pt idx="1">
                  <c:v>2</c:v>
                </c:pt>
                <c:pt idx="2">
                  <c:v>15</c:v>
                </c:pt>
              </c:numCache>
            </c:numRef>
          </c:cat>
          <c:val>
            <c:numRef>
              <c:f>Workouts!$AC$2:$AC$4</c:f>
              <c:numCache>
                <c:formatCode>General</c:formatCode>
                <c:ptCount val="3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DEE-47C1-A390-312857BB52B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96661343"/>
        <c:axId val="677888687"/>
      </c:lineChart>
      <c:catAx>
        <c:axId val="596661343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rgbClr val="FA6CF0"/>
                    </a:solidFill>
                    <a:effectLst>
                      <a:glow rad="76200">
                        <a:schemeClr val="accent1">
                          <a:alpha val="40000"/>
                        </a:schemeClr>
                      </a:glow>
                    </a:effectLst>
                    <a:latin typeface="+mn-lt"/>
                    <a:ea typeface="+mn-ea"/>
                    <a:cs typeface="+mn-cs"/>
                  </a:defRPr>
                </a:pPr>
                <a:r>
                  <a:rPr lang="en-US">
                    <a:solidFill>
                      <a:schemeClr val="bg1"/>
                    </a:solidFill>
                    <a:effectLst>
                      <a:glow rad="76200">
                        <a:schemeClr val="accent1">
                          <a:alpha val="40000"/>
                        </a:schemeClr>
                      </a:glow>
                    </a:effectLst>
                  </a:rPr>
                  <a:t>Day of Month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rgbClr val="FA6CF0"/>
                  </a:solidFill>
                  <a:effectLst>
                    <a:glow rad="76200">
                      <a:schemeClr val="accent1">
                        <a:alpha val="40000"/>
                      </a:schemeClr>
                    </a:glow>
                  </a:effectLst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85000"/>
                <a:lumOff val="1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bg1"/>
                </a:solidFill>
                <a:effectLst>
                  <a:glow rad="76200">
                    <a:schemeClr val="accent1">
                      <a:alpha val="40000"/>
                    </a:schemeClr>
                  </a:glow>
                </a:effectLst>
                <a:latin typeface="+mn-lt"/>
                <a:ea typeface="+mn-ea"/>
                <a:cs typeface="+mn-cs"/>
              </a:defRPr>
            </a:pPr>
            <a:endParaRPr lang="en-US"/>
          </a:p>
        </c:txPr>
        <c:crossAx val="677888687"/>
        <c:crosses val="autoZero"/>
        <c:auto val="1"/>
        <c:lblAlgn val="ctr"/>
        <c:lblOffset val="100"/>
        <c:tickLblSkip val="3"/>
        <c:noMultiLvlLbl val="0"/>
      </c:catAx>
      <c:valAx>
        <c:axId val="67788868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85000"/>
                  <a:lumOff val="1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rgbClr val="FA6CF0"/>
                    </a:solidFill>
                    <a:effectLst>
                      <a:glow rad="228600">
                        <a:schemeClr val="accent5">
                          <a:lumMod val="75000"/>
                          <a:alpha val="40000"/>
                        </a:schemeClr>
                      </a:glow>
                    </a:effectLst>
                    <a:latin typeface="+mn-lt"/>
                    <a:ea typeface="+mn-ea"/>
                    <a:cs typeface="+mn-cs"/>
                  </a:defRPr>
                </a:pPr>
                <a:r>
                  <a:rPr lang="en-US" sz="1400">
                    <a:solidFill>
                      <a:schemeClr val="bg1"/>
                    </a:solidFill>
                    <a:effectLst>
                      <a:glow rad="228600">
                        <a:schemeClr val="accent5">
                          <a:lumMod val="75000"/>
                          <a:alpha val="40000"/>
                        </a:schemeClr>
                      </a:glow>
                    </a:effectLst>
                  </a:rPr>
                  <a:t>Calories</a:t>
                </a:r>
              </a:p>
            </c:rich>
          </c:tx>
          <c:overlay val="0"/>
          <c:spPr>
            <a:noFill/>
            <a:ln>
              <a:noFill/>
            </a:ln>
            <a:effectLst>
              <a:glow rad="76200">
                <a:schemeClr val="bg1">
                  <a:alpha val="40000"/>
                </a:schemeClr>
              </a:glow>
            </a:effectLst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rgbClr val="FA6CF0"/>
                  </a:solidFill>
                  <a:effectLst>
                    <a:glow rad="228600">
                      <a:schemeClr val="accent5">
                        <a:lumMod val="75000"/>
                        <a:alpha val="40000"/>
                      </a:schemeClr>
                    </a:glow>
                  </a:effectLst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bg1"/>
                </a:solidFill>
                <a:effectLst>
                  <a:glow rad="76200">
                    <a:schemeClr val="accent1">
                      <a:alpha val="40000"/>
                    </a:schemeClr>
                  </a:glow>
                </a:effectLst>
                <a:latin typeface="+mn-lt"/>
                <a:ea typeface="+mn-ea"/>
                <a:cs typeface="+mn-cs"/>
              </a:defRPr>
            </a:pPr>
            <a:endParaRPr lang="en-US"/>
          </a:p>
        </c:txPr>
        <c:crossAx val="596661343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egendEntry>
        <c:idx val="2"/>
        <c:txPr>
          <a:bodyPr rot="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bg1"/>
                </a:solidFill>
                <a:effectLst>
                  <a:glow rad="76200">
                    <a:schemeClr val="accent5">
                      <a:lumMod val="75000"/>
                      <a:alpha val="40000"/>
                    </a:schemeClr>
                  </a:glow>
                </a:effectLst>
                <a:latin typeface="+mn-lt"/>
                <a:ea typeface="+mn-ea"/>
                <a:cs typeface="+mn-cs"/>
              </a:defRPr>
            </a:pPr>
            <a:endParaRPr lang="en-US"/>
          </a:p>
        </c:txPr>
      </c:legendEntry>
      <c:legendEntry>
        <c:idx val="3"/>
        <c:txPr>
          <a:bodyPr rot="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bg1"/>
                </a:solidFill>
                <a:effectLst>
                  <a:glow rad="76200">
                    <a:schemeClr val="accent5">
                      <a:lumMod val="75000"/>
                      <a:alpha val="40000"/>
                    </a:schemeClr>
                  </a:glow>
                </a:effectLst>
                <a:latin typeface="+mn-lt"/>
                <a:ea typeface="+mn-ea"/>
                <a:cs typeface="+mn-cs"/>
              </a:defRPr>
            </a:pPr>
            <a:endParaRPr lang="en-US"/>
          </a:p>
        </c:txPr>
      </c:legendEntry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bg1"/>
              </a:solidFill>
              <a:effectLst>
                <a:glow rad="76200">
                  <a:schemeClr val="accent5">
                    <a:lumMod val="75000"/>
                    <a:alpha val="40000"/>
                  </a:schemeClr>
                </a:glow>
              </a:effectLst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 flip="none" rotWithShape="1">
      <a:gsLst>
        <a:gs pos="0">
          <a:schemeClr val="tx1"/>
        </a:gs>
        <a:gs pos="52000">
          <a:schemeClr val="tx2">
            <a:lumMod val="75000"/>
          </a:schemeClr>
        </a:gs>
        <a:gs pos="100000">
          <a:schemeClr val="tx1"/>
        </a:gs>
      </a:gsLst>
      <a:lin ang="10800000" scaled="1"/>
      <a:tileRect/>
    </a:gra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95249</xdr:colOff>
      <xdr:row>5</xdr:row>
      <xdr:rowOff>142875</xdr:rowOff>
    </xdr:from>
    <xdr:to>
      <xdr:col>15</xdr:col>
      <xdr:colOff>133349</xdr:colOff>
      <xdr:row>17</xdr:row>
      <xdr:rowOff>161924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747C7000-2DB2-4EA7-8744-B5616E38E08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absolute">
    <xdr:from>
      <xdr:col>15</xdr:col>
      <xdr:colOff>200025</xdr:colOff>
      <xdr:row>0</xdr:row>
      <xdr:rowOff>38099</xdr:rowOff>
    </xdr:from>
    <xdr:to>
      <xdr:col>19</xdr:col>
      <xdr:colOff>57150</xdr:colOff>
      <xdr:row>17</xdr:row>
      <xdr:rowOff>190499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801DE686-EA3D-49FA-A659-5D70B46DD88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190501</xdr:colOff>
      <xdr:row>13</xdr:row>
      <xdr:rowOff>76201</xdr:rowOff>
    </xdr:from>
    <xdr:to>
      <xdr:col>9</xdr:col>
      <xdr:colOff>59532</xdr:colOff>
      <xdr:row>17</xdr:row>
      <xdr:rowOff>140537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EF3C8C2-48C7-4F84-0819-0DFF94696B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0501" y="2624139"/>
          <a:ext cx="5334000" cy="826336"/>
        </a:xfrm>
        <a:prstGeom prst="rect">
          <a:avLst/>
        </a:prstGeom>
      </xdr:spPr>
    </xdr:pic>
    <xdr:clientData/>
  </xdr:twoCellAnchor>
  <xdr:twoCellAnchor editAs="oneCell">
    <xdr:from>
      <xdr:col>0</xdr:col>
      <xdr:colOff>190500</xdr:colOff>
      <xdr:row>4</xdr:row>
      <xdr:rowOff>104775</xdr:rowOff>
    </xdr:from>
    <xdr:to>
      <xdr:col>2</xdr:col>
      <xdr:colOff>561975</xdr:colOff>
      <xdr:row>9</xdr:row>
      <xdr:rowOff>152661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510B9E0C-D466-48A7-9B40-7BDCDFAA74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90500" y="942975"/>
          <a:ext cx="1590675" cy="1000386"/>
        </a:xfrm>
        <a:prstGeom prst="rect">
          <a:avLst/>
        </a:prstGeom>
      </xdr:spPr>
    </xdr:pic>
    <xdr:clientData/>
  </xdr:twoCellAnchor>
</xdr:wsDr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backgroundRefresh="0" connectionId="1" xr16:uid="{DA5B0105-234B-4ECB-B9C1-172F07BBC61E}" autoFormatId="16" applyNumberFormats="0" applyBorderFormats="0" applyFontFormats="0" applyPatternFormats="0" applyAlignmentFormats="0" applyWidthHeightFormats="0">
  <queryTableRefresh nextId="31" unboundColumnsRight="14">
    <queryTableFields count="25">
      <queryTableField id="1" name="Workout Date" tableColumnId="1"/>
      <queryTableField id="2" name="distance" tableColumnId="2"/>
      <queryTableField id="3" name="pctAverageHeartRateInZone" tableColumnId="3"/>
      <queryTableField id="4" name="averageSpeed" tableColumnId="4"/>
      <queryTableField id="5" name="Hours" tableColumnId="5"/>
      <queryTableField id="6" name="Minutes" tableColumnId="6"/>
      <queryTableField id="7" name="averageWattsPerHour" tableColumnId="7"/>
      <queryTableField id="8" name="totalCalories" tableColumnId="8"/>
      <queryTableField id="9" name="avgHeartRate" tableColumnId="9"/>
      <queryTableField id="10" name="avgRpm" tableColumnId="10"/>
      <queryTableField id="11" name="avgLevel" tableColumnId="11"/>
      <queryTableField id="12" dataBound="0" tableColumnId="12"/>
      <queryTableField id="13" dataBound="0" tableColumnId="13"/>
      <queryTableField id="14" dataBound="0" tableColumnId="14"/>
      <queryTableField id="15" dataBound="0" tableColumnId="15"/>
      <queryTableField id="16" dataBound="0" tableColumnId="16"/>
      <queryTableField id="17" dataBound="0" tableColumnId="17"/>
      <queryTableField id="18" dataBound="0" tableColumnId="18"/>
      <queryTableField id="24" dataBound="0" tableColumnId="23"/>
      <queryTableField id="25" dataBound="0" tableColumnId="24"/>
      <queryTableField id="26" dataBound="0" tableColumnId="25"/>
      <queryTableField id="27" dataBound="0" tableColumnId="26"/>
      <queryTableField id="28" dataBound="0" tableColumnId="27"/>
      <queryTableField id="29" dataBound="0" tableColumnId="19"/>
      <queryTableField id="30" dataBound="0" tableColumnId="20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493B049E-DC78-4B95-851F-D5B7DF16C7EB}" name="MyWorkout_Archive" displayName="MyWorkout_Archive" ref="A1:Y15" tableType="queryTable" totalsRowShown="0">
  <autoFilter ref="A1:Y15" xr:uid="{493B049E-DC78-4B95-851F-D5B7DF16C7EB}"/>
  <tableColumns count="25">
    <tableColumn id="1" xr3:uid="{6105937E-6925-4ED6-9013-6A2A24961824}" uniqueName="1" name="Workout Date" queryTableFieldId="1" dataDxfId="15"/>
    <tableColumn id="2" xr3:uid="{F68159C3-16EA-4A9B-B6AA-8276A991D6EF}" uniqueName="2" name="distance" queryTableFieldId="2"/>
    <tableColumn id="3" xr3:uid="{33F905E0-302E-4CDD-83C0-BE255E08F482}" uniqueName="3" name="pctAverageHeartRateInZone" queryTableFieldId="3"/>
    <tableColumn id="4" xr3:uid="{CB64F9E6-A418-4F58-804A-44775E5F73BB}" uniqueName="4" name="averageSpeed" queryTableFieldId="4"/>
    <tableColumn id="5" xr3:uid="{F77D0D9F-529A-477C-9D84-40AA1C33E17A}" uniqueName="5" name="Hours" queryTableFieldId="5"/>
    <tableColumn id="6" xr3:uid="{943DC94A-9DAD-49BF-BDED-94F7D0772591}" uniqueName="6" name="Minutes" queryTableFieldId="6"/>
    <tableColumn id="7" xr3:uid="{B9168103-D60D-4E4B-8846-370387F92ADF}" uniqueName="7" name="averageWattsPerHour" queryTableFieldId="7"/>
    <tableColumn id="8" xr3:uid="{2759BDB2-F2C0-42E2-9CE1-5BD128625E9B}" uniqueName="8" name="totalCalories" queryTableFieldId="8"/>
    <tableColumn id="9" xr3:uid="{BA3D383F-FB54-4355-91CE-8C5B780D6542}" uniqueName="9" name="avgHeartRate" queryTableFieldId="9"/>
    <tableColumn id="10" xr3:uid="{76B7E0E4-AABE-4FD1-A391-E5F04BD3A77D}" uniqueName="10" name="avgRpm" queryTableFieldId="10"/>
    <tableColumn id="11" xr3:uid="{25D0E949-52F3-4F9D-8C86-A042C4B6E5CB}" uniqueName="11" name="avgLevel" queryTableFieldId="11" dataDxfId="14"/>
    <tableColumn id="12" xr3:uid="{66125BF7-43B8-4815-B4DA-8032932EBA4C}" uniqueName="12" name="Mins" queryTableFieldId="12" dataDxfId="13">
      <calculatedColumnFormula>MyWorkout_Archive[[#This Row],[Hours]]*60+MyWorkout_Archive[[#This Row],[Minutes]]</calculatedColumnFormula>
    </tableColumn>
    <tableColumn id="13" xr3:uid="{C17FDFD3-E4AA-42C4-BBD1-7020072DE800}" uniqueName="13" name="DaysBetween" queryTableFieldId="13" dataDxfId="12">
      <calculatedColumnFormula>IF(A3-MyWorkout_Archive[[#This Row],[Workout Date]]&gt;0,A3-MyWorkout_Archive[[#This Row],[Workout Date]]-1,NA())</calculatedColumnFormula>
    </tableColumn>
    <tableColumn id="14" xr3:uid="{B3811EB6-E8E5-4F41-9230-B4D200BFB29D}" uniqueName="14" name="% Minutes" queryTableFieldId="14" dataDxfId="11">
      <calculatedColumnFormula>MyWorkout_Archive[[#This Row],[Minutes]]/SUM(F:F)</calculatedColumnFormula>
    </tableColumn>
    <tableColumn id="15" xr3:uid="{4C846E67-8BFC-4080-966C-BDF573DBFD3A}" uniqueName="15" name="Weighted avgSpeed" queryTableFieldId="15" dataDxfId="10">
      <calculatedColumnFormula>MyWorkout_Archive[[#This Row],[% Minutes]]*MyWorkout_Archive[[#This Row],[averageSpeed]]</calculatedColumnFormula>
    </tableColumn>
    <tableColumn id="16" xr3:uid="{874E9034-C0B9-4FA1-9DA4-2FC8DF4CCCA5}" uniqueName="16" name="Weighted avgLevel" queryTableFieldId="16" dataDxfId="9">
      <calculatedColumnFormula>MyWorkout_Archive[[#This Row],[% Minutes]]*MyWorkout_Archive[[#This Row],[avgLevel]]</calculatedColumnFormula>
    </tableColumn>
    <tableColumn id="17" xr3:uid="{AD177A5F-8764-4AF6-9A64-A91F43212ADA}" uniqueName="17" name="Weighted avgRPM" queryTableFieldId="17" dataDxfId="8">
      <calculatedColumnFormula>MyWorkout_Archive[[#This Row],[% Minutes]]*MyWorkout_Archive[[#This Row],[avgRpm]]</calculatedColumnFormula>
    </tableColumn>
    <tableColumn id="18" xr3:uid="{74E67C02-971C-491C-A764-559E8785B975}" uniqueName="18" name="MonthYear" queryTableFieldId="18" dataDxfId="7">
      <calculatedColumnFormula>TEXT(MyWorkout_Archive[[#This Row],[Workout Date]],"mmm-yyyy")</calculatedColumnFormula>
    </tableColumn>
    <tableColumn id="23" xr3:uid="{AB0D7BA3-8060-411B-B3ED-F728C7A9C7D6}" uniqueName="23" name="MTD Calories" queryTableFieldId="24" dataDxfId="6">
      <calculatedColumnFormula>SUMIFS(H:H,R:R,MyWorkout_Archive[[#This Row],[MonthYear]],A:A,"&lt;="&amp;MyWorkout_Archive[[#This Row],[Workout Date]])</calculatedColumnFormula>
    </tableColumn>
    <tableColumn id="24" xr3:uid="{3F6E40C2-71AA-4110-8132-6BD2AC9EA0C6}" uniqueName="24" name="MTD Workouts" queryTableFieldId="25" dataDxfId="5">
      <calculatedColumnFormula>COUNTIFS(R:R,MyWorkout_Archive[[#This Row],[MonthYear]],A:A,"&lt;="&amp;MyWorkout_Archive[[#This Row],[Workout Date]])</calculatedColumnFormula>
    </tableColumn>
    <tableColumn id="25" xr3:uid="{A75DBE8C-ADF4-4BEA-8E8B-137F50AF2DF3}" uniqueName="25" name="This Month" queryTableFieldId="26" dataDxfId="4">
      <calculatedColumnFormula>AND(MONTH(MAX(A:A))=MONTH(MyWorkout_Archive[[#This Row],[Workout Date]]),YEAR(MAX(A:A))=YEAR(MyWorkout_Archive[[#This Row],[Workout Date]]))</calculatedColumnFormula>
    </tableColumn>
    <tableColumn id="26" xr3:uid="{870A0885-7C0C-49AE-8623-FF784E314E67}" uniqueName="26" name="Last Month" queryTableFieldId="27" dataDxfId="3">
      <calculatedColumnFormula>IF(MONTH(MAX(A:A))&gt;1,AND(MONTH(MAX(A:A))=MONTH(MyWorkout_Archive[[#This Row],[Workout Date]])+1,YEAR(MAX(A:A))=YEAR(MyWorkout_Archive[[#This Row],[Workout Date]])),AND(MONTH(MyWorkout_Archive[[#This Row],[Workout Date]])=12,YEAR(MyWorkout_Archive[[#This Row],[Workout Date]])+1=YEAR(MAX(A:A))))</calculatedColumnFormula>
    </tableColumn>
    <tableColumn id="27" xr3:uid="{10F428D4-4414-46BA-999F-FEF45A65EB5D}" uniqueName="27" name="Day" queryTableFieldId="28" dataDxfId="2">
      <calculatedColumnFormula>DAY(MyWorkout_Archive[[#This Row],[Workout Date]])</calculatedColumnFormula>
    </tableColumn>
    <tableColumn id="19" xr3:uid="{65819DA8-BA96-401F-8834-D7F61DE8B2A3}" uniqueName="19" name="Two Months Ago" queryTableFieldId="29" dataDxfId="1">
      <calculatedColumnFormula>IF(AND(YEAR(MyWorkout_Archive[[#This Row],[Workout Date]])=YEAR(EDATE(MAX(A:A),-2)),MONTH(MyWorkout_Archive[[#This Row],[Workout Date]])=MONTH(EDATE(MAX(A:A),-2))),TRUE(),FALSE())</calculatedColumnFormula>
    </tableColumn>
    <tableColumn id="20" xr3:uid="{9182D8C6-1CD4-41F8-98A3-A14438468CE9}" uniqueName="20" name="Month Total" queryTableFieldId="30" dataDxfId="0">
      <calculatedColumnFormula>SUMIFS(H:H,R:R,MyWorkout_Archive[[#This Row],[MonthYear]],U:U,FALSE())</calculatedColumnFormula>
    </tableColumn>
  </tableColumns>
  <tableStyleInfo name="TableStyleMedium7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B86B3B34-F3C5-4DAD-8E29-3578708E136E}" name="FileName" displayName="FileName" ref="B1:B2" totalsRowShown="0">
  <autoFilter ref="B1:B2" xr:uid="{B86B3B34-F3C5-4DAD-8E29-3578708E136E}"/>
  <tableColumns count="1">
    <tableColumn id="1" xr3:uid="{6750CCEF-85A7-46E1-B007-FC759C3EB558}" name="FileName">
      <calculatedColumnFormula>LEFT(CELL("filename",$A$1),FIND("[",CELL("filename",$A$1),1)-1)</calculatedColumnFormula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4AC6E8-1A20-4228-99E1-BC18FA459300}">
  <dimension ref="A1:AF15"/>
  <sheetViews>
    <sheetView zoomScale="90" zoomScaleNormal="90" workbookViewId="0">
      <selection activeCell="I11" sqref="I11"/>
    </sheetView>
  </sheetViews>
  <sheetFormatPr defaultRowHeight="15" x14ac:dyDescent="0.25"/>
  <cols>
    <col min="1" max="1" width="16" bestFit="1" customWidth="1"/>
    <col min="2" max="2" width="10.7109375" bestFit="1" customWidth="1"/>
    <col min="3" max="3" width="28.85546875" bestFit="1" customWidth="1"/>
    <col min="4" max="4" width="16" bestFit="1" customWidth="1"/>
    <col min="5" max="5" width="8.7109375" bestFit="1" customWidth="1"/>
    <col min="6" max="6" width="10.7109375" bestFit="1" customWidth="1"/>
    <col min="7" max="7" width="23.28515625" bestFit="1" customWidth="1"/>
    <col min="8" max="8" width="14.5703125" bestFit="1" customWidth="1"/>
    <col min="9" max="9" width="15.42578125" bestFit="1" customWidth="1"/>
    <col min="10" max="10" width="10.42578125" bestFit="1" customWidth="1"/>
    <col min="11" max="11" width="11.140625" bestFit="1" customWidth="1"/>
    <col min="12" max="12" width="7.7109375" bestFit="1" customWidth="1"/>
    <col min="13" max="13" width="15.5703125" style="7" bestFit="1" customWidth="1"/>
    <col min="14" max="14" width="13.28515625" bestFit="1" customWidth="1"/>
    <col min="15" max="15" width="21.42578125" bestFit="1" customWidth="1"/>
    <col min="16" max="16" width="20.5703125" bestFit="1" customWidth="1"/>
    <col min="17" max="17" width="20" bestFit="1" customWidth="1"/>
    <col min="18" max="18" width="13.42578125" bestFit="1" customWidth="1"/>
    <col min="19" max="19" width="15" bestFit="1" customWidth="1"/>
    <col min="20" max="20" width="16.7109375" bestFit="1" customWidth="1"/>
    <col min="21" max="21" width="13.28515625" bestFit="1" customWidth="1"/>
    <col min="22" max="22" width="13.42578125" bestFit="1" customWidth="1"/>
    <col min="23" max="23" width="6.85546875" bestFit="1" customWidth="1"/>
    <col min="24" max="24" width="18.42578125" bestFit="1" customWidth="1"/>
    <col min="25" max="25" width="14.28515625" bestFit="1" customWidth="1"/>
    <col min="29" max="29" width="11" bestFit="1" customWidth="1"/>
    <col min="30" max="30" width="10.7109375" bestFit="1" customWidth="1"/>
  </cols>
  <sheetData>
    <row r="1" spans="1:32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40</v>
      </c>
      <c r="M1" s="7" t="s">
        <v>15</v>
      </c>
      <c r="N1" t="s">
        <v>22</v>
      </c>
      <c r="O1" t="s">
        <v>23</v>
      </c>
      <c r="P1" t="s">
        <v>24</v>
      </c>
      <c r="Q1" t="s">
        <v>25</v>
      </c>
      <c r="R1" t="s">
        <v>30</v>
      </c>
      <c r="S1" t="s">
        <v>32</v>
      </c>
      <c r="T1" t="s">
        <v>31</v>
      </c>
      <c r="U1" t="s">
        <v>34</v>
      </c>
      <c r="V1" t="s">
        <v>35</v>
      </c>
      <c r="W1" t="s">
        <v>33</v>
      </c>
      <c r="X1" t="s">
        <v>37</v>
      </c>
      <c r="Y1" t="s">
        <v>39</v>
      </c>
      <c r="AC1" t="s">
        <v>34</v>
      </c>
      <c r="AD1" t="s">
        <v>35</v>
      </c>
      <c r="AE1" t="s">
        <v>36</v>
      </c>
      <c r="AF1" t="s">
        <v>38</v>
      </c>
    </row>
    <row r="2" spans="1:32" x14ac:dyDescent="0.25">
      <c r="A2" s="1"/>
      <c r="K2" s="7"/>
      <c r="L2" s="40">
        <f>MyWorkout_Archive[[#This Row],[Hours]]*60+MyWorkout_Archive[[#This Row],[Minutes]]</f>
        <v>0</v>
      </c>
      <c r="M2" s="7" t="e">
        <f>IF(A3-MyWorkout_Archive[[#This Row],[Workout Date]]&gt;0,A3-MyWorkout_Archive[[#This Row],[Workout Date]]-1,NA())</f>
        <v>#N/A</v>
      </c>
      <c r="N2" s="40" t="e">
        <f>MyWorkout_Archive[[#This Row],[Minutes]]/SUM(F:F)</f>
        <v>#DIV/0!</v>
      </c>
      <c r="O2" s="40" t="e">
        <f>MyWorkout_Archive[[#This Row],[% Minutes]]*MyWorkout_Archive[[#This Row],[averageSpeed]]</f>
        <v>#DIV/0!</v>
      </c>
      <c r="P2" s="40" t="e">
        <f>MyWorkout_Archive[[#This Row],[% Minutes]]*MyWorkout_Archive[[#This Row],[avgLevel]]</f>
        <v>#DIV/0!</v>
      </c>
      <c r="Q2" s="40" t="e">
        <f>MyWorkout_Archive[[#This Row],[% Minutes]]*MyWorkout_Archive[[#This Row],[avgRpm]]</f>
        <v>#DIV/0!</v>
      </c>
      <c r="R2" s="40" t="str">
        <f>TEXT(MyWorkout_Archive[[#This Row],[Workout Date]],"mmm-yyyy")</f>
        <v>Jan-1900</v>
      </c>
      <c r="S2" s="40">
        <f>SUMIFS(H:H,R:R,MyWorkout_Archive[[#This Row],[MonthYear]],A:A,"&lt;="&amp;MyWorkout_Archive[[#This Row],[Workout Date]])</f>
        <v>0</v>
      </c>
      <c r="T2" s="40">
        <f>COUNTIFS(R:R,MyWorkout_Archive[[#This Row],[MonthYear]],A:A,"&lt;="&amp;MyWorkout_Archive[[#This Row],[Workout Date]])</f>
        <v>0</v>
      </c>
      <c r="U2" s="40" t="b">
        <f>AND(MONTH(MAX(A:A))=MONTH(MyWorkout_Archive[[#This Row],[Workout Date]]),YEAR(MAX(A:A))=YEAR(MyWorkout_Archive[[#This Row],[Workout Date]]))</f>
        <v>1</v>
      </c>
      <c r="V2" s="40" t="b">
        <f>IF(MONTH(MAX(A:A))&gt;1,AND(MONTH(MAX(A:A))=MONTH(MyWorkout_Archive[[#This Row],[Workout Date]])+1,YEAR(MAX(A:A))=YEAR(MyWorkout_Archive[[#This Row],[Workout Date]])),AND(MONTH(MyWorkout_Archive[[#This Row],[Workout Date]])=12,YEAR(MyWorkout_Archive[[#This Row],[Workout Date]])+1=YEAR(MAX(A:A))))</f>
        <v>0</v>
      </c>
      <c r="W2" s="40">
        <f>DAY(MyWorkout_Archive[[#This Row],[Workout Date]])</f>
        <v>0</v>
      </c>
      <c r="X2" s="40" t="e">
        <f>IF(AND(YEAR(MyWorkout_Archive[[#This Row],[Workout Date]])=YEAR(EDATE(MAX(A:A),-2)),MONTH(MyWorkout_Archive[[#This Row],[Workout Date]])=MONTH(EDATE(MAX(A:A),-2))),TRUE(),FALSE())</f>
        <v>#NUM!</v>
      </c>
      <c r="Y2" s="40">
        <f>SUMIFS(H:H,R:R,MyWorkout_Archive[[#This Row],[MonthYear]],U:U,FALSE())</f>
        <v>0</v>
      </c>
      <c r="AB2">
        <v>1</v>
      </c>
      <c r="AC2" t="e">
        <f>IF(DAY(MAX(A:A))&gt;=AB2,_xlfn.MAXIFS(S:S,U:U,TRUE(),W:W,"&lt;="&amp;AB2),NA())</f>
        <v>#N/A</v>
      </c>
      <c r="AD2">
        <f>_xlfn.MAXIFS(S:S,V:V,TRUE(),W:W,"&lt;="&amp;AB2)</f>
        <v>0</v>
      </c>
      <c r="AE2">
        <f>_xlfn.MAXIFS(S:S,X:X,TRUE(),W:W,"&lt;="&amp;AB2)</f>
        <v>0</v>
      </c>
      <c r="AF2">
        <f>MAX(Y:Y)</f>
        <v>0</v>
      </c>
    </row>
    <row r="3" spans="1:32" x14ac:dyDescent="0.25">
      <c r="A3" s="1"/>
      <c r="K3" s="7"/>
      <c r="L3" s="40">
        <f>MyWorkout_Archive[[#This Row],[Hours]]*60+MyWorkout_Archive[[#This Row],[Minutes]]</f>
        <v>0</v>
      </c>
      <c r="M3" s="7" t="e">
        <f>IF(A4-MyWorkout_Archive[[#This Row],[Workout Date]]&gt;0,A4-MyWorkout_Archive[[#This Row],[Workout Date]]-1,NA())</f>
        <v>#N/A</v>
      </c>
      <c r="N3" s="40" t="e">
        <f>MyWorkout_Archive[[#This Row],[Minutes]]/SUM(F:F)</f>
        <v>#DIV/0!</v>
      </c>
      <c r="O3" s="40" t="e">
        <f>MyWorkout_Archive[[#This Row],[% Minutes]]*MyWorkout_Archive[[#This Row],[averageSpeed]]</f>
        <v>#DIV/0!</v>
      </c>
      <c r="P3" s="40" t="e">
        <f>MyWorkout_Archive[[#This Row],[% Minutes]]*MyWorkout_Archive[[#This Row],[avgLevel]]</f>
        <v>#DIV/0!</v>
      </c>
      <c r="Q3" s="40" t="e">
        <f>MyWorkout_Archive[[#This Row],[% Minutes]]*MyWorkout_Archive[[#This Row],[avgRpm]]</f>
        <v>#DIV/0!</v>
      </c>
      <c r="R3" s="40" t="str">
        <f>TEXT(MyWorkout_Archive[[#This Row],[Workout Date]],"mmm-yyyy")</f>
        <v>Jan-1900</v>
      </c>
      <c r="S3" s="40">
        <f>SUMIFS(H:H,R:R,MyWorkout_Archive[[#This Row],[MonthYear]],A:A,"&lt;="&amp;MyWorkout_Archive[[#This Row],[Workout Date]])</f>
        <v>0</v>
      </c>
      <c r="T3" s="40">
        <f>COUNTIFS(R:R,MyWorkout_Archive[[#This Row],[MonthYear]],A:A,"&lt;="&amp;MyWorkout_Archive[[#This Row],[Workout Date]])</f>
        <v>0</v>
      </c>
      <c r="U3" s="40" t="b">
        <f>AND(MONTH(MAX(A:A))=MONTH(MyWorkout_Archive[[#This Row],[Workout Date]]),YEAR(MAX(A:A))=YEAR(MyWorkout_Archive[[#This Row],[Workout Date]]))</f>
        <v>1</v>
      </c>
      <c r="V3" s="40" t="b">
        <f>IF(MONTH(MAX(A:A))&gt;1,AND(MONTH(MAX(A:A))=MONTH(MyWorkout_Archive[[#This Row],[Workout Date]])+1,YEAR(MAX(A:A))=YEAR(MyWorkout_Archive[[#This Row],[Workout Date]])),AND(MONTH(MyWorkout_Archive[[#This Row],[Workout Date]])=12,YEAR(MyWorkout_Archive[[#This Row],[Workout Date]])+1=YEAR(MAX(A:A))))</f>
        <v>0</v>
      </c>
      <c r="W3" s="40">
        <f>DAY(MyWorkout_Archive[[#This Row],[Workout Date]])</f>
        <v>0</v>
      </c>
      <c r="X3" s="40" t="e">
        <f>IF(AND(YEAR(MyWorkout_Archive[[#This Row],[Workout Date]])=YEAR(EDATE(MAX(A:A),-2)),MONTH(MyWorkout_Archive[[#This Row],[Workout Date]])=MONTH(EDATE(MAX(A:A),-2))),TRUE(),FALSE())</f>
        <v>#NUM!</v>
      </c>
      <c r="Y3" s="40">
        <f>SUMIFS(H:H,R:R,MyWorkout_Archive[[#This Row],[MonthYear]],U:U,FALSE())</f>
        <v>0</v>
      </c>
      <c r="AB3">
        <v>2</v>
      </c>
      <c r="AC3" t="e">
        <f>IF(DAY(MAX(A:A))&gt;=AB3,_xlfn.MAXIFS(S:S,U:U,TRUE(),W:W,"&lt;="&amp;AB3),NA())</f>
        <v>#N/A</v>
      </c>
      <c r="AD3">
        <f>_xlfn.MAXIFS(S:S,V:V,TRUE(),W:W,"&lt;="&amp;AB3)</f>
        <v>0</v>
      </c>
      <c r="AE3">
        <f>_xlfn.MAXIFS(S:S,X:X,TRUE(),W:W,"&lt;="&amp;AB3)</f>
        <v>0</v>
      </c>
      <c r="AF3">
        <f>MAX(Y:Y)</f>
        <v>0</v>
      </c>
    </row>
    <row r="4" spans="1:32" x14ac:dyDescent="0.25">
      <c r="A4" s="1"/>
      <c r="K4" s="7"/>
      <c r="L4" s="40">
        <f>MyWorkout_Archive[[#This Row],[Hours]]*60+MyWorkout_Archive[[#This Row],[Minutes]]</f>
        <v>0</v>
      </c>
      <c r="M4" s="7" t="e">
        <f>IF(A5-MyWorkout_Archive[[#This Row],[Workout Date]]&gt;0,A5-MyWorkout_Archive[[#This Row],[Workout Date]]-1,NA())</f>
        <v>#N/A</v>
      </c>
      <c r="N4" s="40" t="e">
        <f>MyWorkout_Archive[[#This Row],[Minutes]]/SUM(F:F)</f>
        <v>#DIV/0!</v>
      </c>
      <c r="O4" s="40" t="e">
        <f>MyWorkout_Archive[[#This Row],[% Minutes]]*MyWorkout_Archive[[#This Row],[averageSpeed]]</f>
        <v>#DIV/0!</v>
      </c>
      <c r="P4" s="40" t="e">
        <f>MyWorkout_Archive[[#This Row],[% Minutes]]*MyWorkout_Archive[[#This Row],[avgLevel]]</f>
        <v>#DIV/0!</v>
      </c>
      <c r="Q4" s="40" t="e">
        <f>MyWorkout_Archive[[#This Row],[% Minutes]]*MyWorkout_Archive[[#This Row],[avgRpm]]</f>
        <v>#DIV/0!</v>
      </c>
      <c r="R4" s="40" t="str">
        <f>TEXT(MyWorkout_Archive[[#This Row],[Workout Date]],"mmm-yyyy")</f>
        <v>Jan-1900</v>
      </c>
      <c r="S4" s="40">
        <f>SUMIFS(H:H,R:R,MyWorkout_Archive[[#This Row],[MonthYear]],A:A,"&lt;="&amp;MyWorkout_Archive[[#This Row],[Workout Date]])</f>
        <v>0</v>
      </c>
      <c r="T4" s="40">
        <f>COUNTIFS(R:R,MyWorkout_Archive[[#This Row],[MonthYear]],A:A,"&lt;="&amp;MyWorkout_Archive[[#This Row],[Workout Date]])</f>
        <v>0</v>
      </c>
      <c r="U4" s="40" t="b">
        <f>AND(MONTH(MAX(A:A))=MONTH(MyWorkout_Archive[[#This Row],[Workout Date]]),YEAR(MAX(A:A))=YEAR(MyWorkout_Archive[[#This Row],[Workout Date]]))</f>
        <v>1</v>
      </c>
      <c r="V4" s="40" t="b">
        <f>IF(MONTH(MAX(A:A))&gt;1,AND(MONTH(MAX(A:A))=MONTH(MyWorkout_Archive[[#This Row],[Workout Date]])+1,YEAR(MAX(A:A))=YEAR(MyWorkout_Archive[[#This Row],[Workout Date]])),AND(MONTH(MyWorkout_Archive[[#This Row],[Workout Date]])=12,YEAR(MyWorkout_Archive[[#This Row],[Workout Date]])+1=YEAR(MAX(A:A))))</f>
        <v>0</v>
      </c>
      <c r="W4" s="40">
        <f>DAY(MyWorkout_Archive[[#This Row],[Workout Date]])</f>
        <v>0</v>
      </c>
      <c r="X4" s="40" t="e">
        <f>IF(AND(YEAR(MyWorkout_Archive[[#This Row],[Workout Date]])=YEAR(EDATE(MAX(A:A),-2)),MONTH(MyWorkout_Archive[[#This Row],[Workout Date]])=MONTH(EDATE(MAX(A:A),-2))),TRUE(),FALSE())</f>
        <v>#NUM!</v>
      </c>
      <c r="Y4" s="40">
        <f>SUMIFS(H:H,R:R,MyWorkout_Archive[[#This Row],[MonthYear]],U:U,FALSE())</f>
        <v>0</v>
      </c>
      <c r="AB4">
        <v>15</v>
      </c>
      <c r="AC4" t="e">
        <f>IF(DAY(MAX(A:A))&gt;=AB4,_xlfn.MAXIFS(S:S,U:U,TRUE(),W:W,"&lt;="&amp;AB4),NA())</f>
        <v>#N/A</v>
      </c>
      <c r="AD4">
        <f>_xlfn.MAXIFS(S:S,V:V,TRUE(),W:W,"&lt;="&amp;AB4)</f>
        <v>0</v>
      </c>
      <c r="AE4">
        <f>_xlfn.MAXIFS(S:S,X:X,TRUE(),W:W,"&lt;="&amp;AB4)</f>
        <v>0</v>
      </c>
      <c r="AF4">
        <f>MAX(Y:Y)</f>
        <v>0</v>
      </c>
    </row>
    <row r="5" spans="1:32" x14ac:dyDescent="0.25">
      <c r="A5" s="1"/>
      <c r="K5" s="7"/>
      <c r="L5" s="40">
        <f>MyWorkout_Archive[[#This Row],[Hours]]*60+MyWorkout_Archive[[#This Row],[Minutes]]</f>
        <v>0</v>
      </c>
      <c r="M5" s="7" t="e">
        <f>IF(A6-MyWorkout_Archive[[#This Row],[Workout Date]]&gt;0,A6-MyWorkout_Archive[[#This Row],[Workout Date]]-1,NA())</f>
        <v>#N/A</v>
      </c>
      <c r="N5" s="40" t="e">
        <f>MyWorkout_Archive[[#This Row],[Minutes]]/SUM(F:F)</f>
        <v>#DIV/0!</v>
      </c>
      <c r="O5" s="40" t="e">
        <f>MyWorkout_Archive[[#This Row],[% Minutes]]*MyWorkout_Archive[[#This Row],[averageSpeed]]</f>
        <v>#DIV/0!</v>
      </c>
      <c r="P5" s="40" t="e">
        <f>MyWorkout_Archive[[#This Row],[% Minutes]]*MyWorkout_Archive[[#This Row],[avgLevel]]</f>
        <v>#DIV/0!</v>
      </c>
      <c r="Q5" s="40" t="e">
        <f>MyWorkout_Archive[[#This Row],[% Minutes]]*MyWorkout_Archive[[#This Row],[avgRpm]]</f>
        <v>#DIV/0!</v>
      </c>
      <c r="R5" s="40" t="str">
        <f>TEXT(MyWorkout_Archive[[#This Row],[Workout Date]],"mmm-yyyy")</f>
        <v>Jan-1900</v>
      </c>
      <c r="S5" s="40">
        <f>SUMIFS(H:H,R:R,MyWorkout_Archive[[#This Row],[MonthYear]],A:A,"&lt;="&amp;MyWorkout_Archive[[#This Row],[Workout Date]])</f>
        <v>0</v>
      </c>
      <c r="T5" s="40">
        <f>COUNTIFS(R:R,MyWorkout_Archive[[#This Row],[MonthYear]],A:A,"&lt;="&amp;MyWorkout_Archive[[#This Row],[Workout Date]])</f>
        <v>0</v>
      </c>
      <c r="U5" s="40" t="b">
        <f>AND(MONTH(MAX(A:A))=MONTH(MyWorkout_Archive[[#This Row],[Workout Date]]),YEAR(MAX(A:A))=YEAR(MyWorkout_Archive[[#This Row],[Workout Date]]))</f>
        <v>1</v>
      </c>
      <c r="V5" s="40" t="b">
        <f>IF(MONTH(MAX(A:A))&gt;1,AND(MONTH(MAX(A:A))=MONTH(MyWorkout_Archive[[#This Row],[Workout Date]])+1,YEAR(MAX(A:A))=YEAR(MyWorkout_Archive[[#This Row],[Workout Date]])),AND(MONTH(MyWorkout_Archive[[#This Row],[Workout Date]])=12,YEAR(MyWorkout_Archive[[#This Row],[Workout Date]])+1=YEAR(MAX(A:A))))</f>
        <v>0</v>
      </c>
      <c r="W5" s="40">
        <f>DAY(MyWorkout_Archive[[#This Row],[Workout Date]])</f>
        <v>0</v>
      </c>
      <c r="X5" s="40" t="e">
        <f>IF(AND(YEAR(MyWorkout_Archive[[#This Row],[Workout Date]])=YEAR(EDATE(MAX(A:A),-2)),MONTH(MyWorkout_Archive[[#This Row],[Workout Date]])=MONTH(EDATE(MAX(A:A),-2))),TRUE(),FALSE())</f>
        <v>#NUM!</v>
      </c>
      <c r="Y5" s="40">
        <f>SUMIFS(H:H,R:R,MyWorkout_Archive[[#This Row],[MonthYear]],U:U,FALSE())</f>
        <v>0</v>
      </c>
    </row>
    <row r="6" spans="1:32" x14ac:dyDescent="0.25">
      <c r="A6" s="1"/>
      <c r="K6" s="7"/>
      <c r="L6" s="40">
        <f>MyWorkout_Archive[[#This Row],[Hours]]*60+MyWorkout_Archive[[#This Row],[Minutes]]</f>
        <v>0</v>
      </c>
      <c r="M6" s="7" t="e">
        <f>IF(A7-MyWorkout_Archive[[#This Row],[Workout Date]]&gt;0,A7-MyWorkout_Archive[[#This Row],[Workout Date]]-1,NA())</f>
        <v>#N/A</v>
      </c>
      <c r="N6" s="40" t="e">
        <f>MyWorkout_Archive[[#This Row],[Minutes]]/SUM(F:F)</f>
        <v>#DIV/0!</v>
      </c>
      <c r="O6" s="40" t="e">
        <f>MyWorkout_Archive[[#This Row],[% Minutes]]*MyWorkout_Archive[[#This Row],[averageSpeed]]</f>
        <v>#DIV/0!</v>
      </c>
      <c r="P6" s="40" t="e">
        <f>MyWorkout_Archive[[#This Row],[% Minutes]]*MyWorkout_Archive[[#This Row],[avgLevel]]</f>
        <v>#DIV/0!</v>
      </c>
      <c r="Q6" s="40" t="e">
        <f>MyWorkout_Archive[[#This Row],[% Minutes]]*MyWorkout_Archive[[#This Row],[avgRpm]]</f>
        <v>#DIV/0!</v>
      </c>
      <c r="R6" s="40" t="str">
        <f>TEXT(MyWorkout_Archive[[#This Row],[Workout Date]],"mmm-yyyy")</f>
        <v>Jan-1900</v>
      </c>
      <c r="S6" s="40">
        <f>SUMIFS(H:H,R:R,MyWorkout_Archive[[#This Row],[MonthYear]],A:A,"&lt;="&amp;MyWorkout_Archive[[#This Row],[Workout Date]])</f>
        <v>0</v>
      </c>
      <c r="T6" s="40">
        <f>COUNTIFS(R:R,MyWorkout_Archive[[#This Row],[MonthYear]],A:A,"&lt;="&amp;MyWorkout_Archive[[#This Row],[Workout Date]])</f>
        <v>0</v>
      </c>
      <c r="U6" s="40" t="b">
        <f>AND(MONTH(MAX(A:A))=MONTH(MyWorkout_Archive[[#This Row],[Workout Date]]),YEAR(MAX(A:A))=YEAR(MyWorkout_Archive[[#This Row],[Workout Date]]))</f>
        <v>1</v>
      </c>
      <c r="V6" s="40" t="b">
        <f>IF(MONTH(MAX(A:A))&gt;1,AND(MONTH(MAX(A:A))=MONTH(MyWorkout_Archive[[#This Row],[Workout Date]])+1,YEAR(MAX(A:A))=YEAR(MyWorkout_Archive[[#This Row],[Workout Date]])),AND(MONTH(MyWorkout_Archive[[#This Row],[Workout Date]])=12,YEAR(MyWorkout_Archive[[#This Row],[Workout Date]])+1=YEAR(MAX(A:A))))</f>
        <v>0</v>
      </c>
      <c r="W6" s="40">
        <f>DAY(MyWorkout_Archive[[#This Row],[Workout Date]])</f>
        <v>0</v>
      </c>
      <c r="X6" s="40" t="e">
        <f>IF(AND(YEAR(MyWorkout_Archive[[#This Row],[Workout Date]])=YEAR(EDATE(MAX(A:A),-2)),MONTH(MyWorkout_Archive[[#This Row],[Workout Date]])=MONTH(EDATE(MAX(A:A),-2))),TRUE(),FALSE())</f>
        <v>#NUM!</v>
      </c>
      <c r="Y6" s="40">
        <f>SUMIFS(H:H,R:R,MyWorkout_Archive[[#This Row],[MonthYear]],U:U,FALSE())</f>
        <v>0</v>
      </c>
    </row>
    <row r="7" spans="1:32" x14ac:dyDescent="0.25">
      <c r="A7" s="1"/>
      <c r="K7" s="7"/>
      <c r="L7" s="40">
        <f>MyWorkout_Archive[[#This Row],[Hours]]*60+MyWorkout_Archive[[#This Row],[Minutes]]</f>
        <v>0</v>
      </c>
      <c r="M7" s="7" t="e">
        <f>IF(A8-MyWorkout_Archive[[#This Row],[Workout Date]]&gt;0,A8-MyWorkout_Archive[[#This Row],[Workout Date]]-1,NA())</f>
        <v>#N/A</v>
      </c>
      <c r="N7" s="40" t="e">
        <f>MyWorkout_Archive[[#This Row],[Minutes]]/SUM(F:F)</f>
        <v>#DIV/0!</v>
      </c>
      <c r="O7" s="40" t="e">
        <f>MyWorkout_Archive[[#This Row],[% Minutes]]*MyWorkout_Archive[[#This Row],[averageSpeed]]</f>
        <v>#DIV/0!</v>
      </c>
      <c r="P7" s="40" t="e">
        <f>MyWorkout_Archive[[#This Row],[% Minutes]]*MyWorkout_Archive[[#This Row],[avgLevel]]</f>
        <v>#DIV/0!</v>
      </c>
      <c r="Q7" s="40" t="e">
        <f>MyWorkout_Archive[[#This Row],[% Minutes]]*MyWorkout_Archive[[#This Row],[avgRpm]]</f>
        <v>#DIV/0!</v>
      </c>
      <c r="R7" s="40" t="str">
        <f>TEXT(MyWorkout_Archive[[#This Row],[Workout Date]],"mmm-yyyy")</f>
        <v>Jan-1900</v>
      </c>
      <c r="S7" s="40">
        <f>SUMIFS(H:H,R:R,MyWorkout_Archive[[#This Row],[MonthYear]],A:A,"&lt;="&amp;MyWorkout_Archive[[#This Row],[Workout Date]])</f>
        <v>0</v>
      </c>
      <c r="T7" s="40">
        <f>COUNTIFS(R:R,MyWorkout_Archive[[#This Row],[MonthYear]],A:A,"&lt;="&amp;MyWorkout_Archive[[#This Row],[Workout Date]])</f>
        <v>0</v>
      </c>
      <c r="U7" s="40" t="b">
        <f>AND(MONTH(MAX(A:A))=MONTH(MyWorkout_Archive[[#This Row],[Workout Date]]),YEAR(MAX(A:A))=YEAR(MyWorkout_Archive[[#This Row],[Workout Date]]))</f>
        <v>1</v>
      </c>
      <c r="V7" s="40" t="b">
        <f>IF(MONTH(MAX(A:A))&gt;1,AND(MONTH(MAX(A:A))=MONTH(MyWorkout_Archive[[#This Row],[Workout Date]])+1,YEAR(MAX(A:A))=YEAR(MyWorkout_Archive[[#This Row],[Workout Date]])),AND(MONTH(MyWorkout_Archive[[#This Row],[Workout Date]])=12,YEAR(MyWorkout_Archive[[#This Row],[Workout Date]])+1=YEAR(MAX(A:A))))</f>
        <v>0</v>
      </c>
      <c r="W7" s="40">
        <f>DAY(MyWorkout_Archive[[#This Row],[Workout Date]])</f>
        <v>0</v>
      </c>
      <c r="X7" s="40" t="e">
        <f>IF(AND(YEAR(MyWorkout_Archive[[#This Row],[Workout Date]])=YEAR(EDATE(MAX(A:A),-2)),MONTH(MyWorkout_Archive[[#This Row],[Workout Date]])=MONTH(EDATE(MAX(A:A),-2))),TRUE(),FALSE())</f>
        <v>#NUM!</v>
      </c>
      <c r="Y7" s="40">
        <f>SUMIFS(H:H,R:R,MyWorkout_Archive[[#This Row],[MonthYear]],U:U,FALSE())</f>
        <v>0</v>
      </c>
    </row>
    <row r="8" spans="1:32" x14ac:dyDescent="0.25">
      <c r="A8" s="1"/>
      <c r="K8" s="7"/>
      <c r="L8" s="40">
        <f>MyWorkout_Archive[[#This Row],[Hours]]*60+MyWorkout_Archive[[#This Row],[Minutes]]</f>
        <v>0</v>
      </c>
      <c r="M8" s="7" t="e">
        <f>IF(A9-MyWorkout_Archive[[#This Row],[Workout Date]]&gt;0,A9-MyWorkout_Archive[[#This Row],[Workout Date]]-1,NA())</f>
        <v>#N/A</v>
      </c>
      <c r="N8" s="40" t="e">
        <f>MyWorkout_Archive[[#This Row],[Minutes]]/SUM(F:F)</f>
        <v>#DIV/0!</v>
      </c>
      <c r="O8" s="40" t="e">
        <f>MyWorkout_Archive[[#This Row],[% Minutes]]*MyWorkout_Archive[[#This Row],[averageSpeed]]</f>
        <v>#DIV/0!</v>
      </c>
      <c r="P8" s="40" t="e">
        <f>MyWorkout_Archive[[#This Row],[% Minutes]]*MyWorkout_Archive[[#This Row],[avgLevel]]</f>
        <v>#DIV/0!</v>
      </c>
      <c r="Q8" s="40" t="e">
        <f>MyWorkout_Archive[[#This Row],[% Minutes]]*MyWorkout_Archive[[#This Row],[avgRpm]]</f>
        <v>#DIV/0!</v>
      </c>
      <c r="R8" s="40" t="str">
        <f>TEXT(MyWorkout_Archive[[#This Row],[Workout Date]],"mmm-yyyy")</f>
        <v>Jan-1900</v>
      </c>
      <c r="S8" s="40">
        <f>SUMIFS(H:H,R:R,MyWorkout_Archive[[#This Row],[MonthYear]],A:A,"&lt;="&amp;MyWorkout_Archive[[#This Row],[Workout Date]])</f>
        <v>0</v>
      </c>
      <c r="T8" s="40">
        <f>COUNTIFS(R:R,MyWorkout_Archive[[#This Row],[MonthYear]],A:A,"&lt;="&amp;MyWorkout_Archive[[#This Row],[Workout Date]])</f>
        <v>0</v>
      </c>
      <c r="U8" s="40" t="b">
        <f>AND(MONTH(MAX(A:A))=MONTH(MyWorkout_Archive[[#This Row],[Workout Date]]),YEAR(MAX(A:A))=YEAR(MyWorkout_Archive[[#This Row],[Workout Date]]))</f>
        <v>1</v>
      </c>
      <c r="V8" s="40" t="b">
        <f>IF(MONTH(MAX(A:A))&gt;1,AND(MONTH(MAX(A:A))=MONTH(MyWorkout_Archive[[#This Row],[Workout Date]])+1,YEAR(MAX(A:A))=YEAR(MyWorkout_Archive[[#This Row],[Workout Date]])),AND(MONTH(MyWorkout_Archive[[#This Row],[Workout Date]])=12,YEAR(MyWorkout_Archive[[#This Row],[Workout Date]])+1=YEAR(MAX(A:A))))</f>
        <v>0</v>
      </c>
      <c r="W8" s="40">
        <f>DAY(MyWorkout_Archive[[#This Row],[Workout Date]])</f>
        <v>0</v>
      </c>
      <c r="X8" s="40" t="e">
        <f>IF(AND(YEAR(MyWorkout_Archive[[#This Row],[Workout Date]])=YEAR(EDATE(MAX(A:A),-2)),MONTH(MyWorkout_Archive[[#This Row],[Workout Date]])=MONTH(EDATE(MAX(A:A),-2))),TRUE(),FALSE())</f>
        <v>#NUM!</v>
      </c>
      <c r="Y8" s="40">
        <f>SUMIFS(H:H,R:R,MyWorkout_Archive[[#This Row],[MonthYear]],U:U,FALSE())</f>
        <v>0</v>
      </c>
    </row>
    <row r="9" spans="1:32" x14ac:dyDescent="0.25">
      <c r="A9" s="1"/>
      <c r="K9" s="7"/>
      <c r="L9" s="40">
        <f>MyWorkout_Archive[[#This Row],[Hours]]*60+MyWorkout_Archive[[#This Row],[Minutes]]</f>
        <v>0</v>
      </c>
      <c r="M9" s="7" t="e">
        <f>IF(A10-MyWorkout_Archive[[#This Row],[Workout Date]]&gt;0,A10-MyWorkout_Archive[[#This Row],[Workout Date]]-1,NA())</f>
        <v>#N/A</v>
      </c>
      <c r="N9" s="40" t="e">
        <f>MyWorkout_Archive[[#This Row],[Minutes]]/SUM(F:F)</f>
        <v>#DIV/0!</v>
      </c>
      <c r="O9" s="40" t="e">
        <f>MyWorkout_Archive[[#This Row],[% Minutes]]*MyWorkout_Archive[[#This Row],[averageSpeed]]</f>
        <v>#DIV/0!</v>
      </c>
      <c r="P9" s="40" t="e">
        <f>MyWorkout_Archive[[#This Row],[% Minutes]]*MyWorkout_Archive[[#This Row],[avgLevel]]</f>
        <v>#DIV/0!</v>
      </c>
      <c r="Q9" s="40" t="e">
        <f>MyWorkout_Archive[[#This Row],[% Minutes]]*MyWorkout_Archive[[#This Row],[avgRpm]]</f>
        <v>#DIV/0!</v>
      </c>
      <c r="R9" s="40" t="str">
        <f>TEXT(MyWorkout_Archive[[#This Row],[Workout Date]],"mmm-yyyy")</f>
        <v>Jan-1900</v>
      </c>
      <c r="S9" s="40">
        <f>SUMIFS(H:H,R:R,MyWorkout_Archive[[#This Row],[MonthYear]],A:A,"&lt;="&amp;MyWorkout_Archive[[#This Row],[Workout Date]])</f>
        <v>0</v>
      </c>
      <c r="T9" s="40">
        <f>COUNTIFS(R:R,MyWorkout_Archive[[#This Row],[MonthYear]],A:A,"&lt;="&amp;MyWorkout_Archive[[#This Row],[Workout Date]])</f>
        <v>0</v>
      </c>
      <c r="U9" s="40" t="b">
        <f>AND(MONTH(MAX(A:A))=MONTH(MyWorkout_Archive[[#This Row],[Workout Date]]),YEAR(MAX(A:A))=YEAR(MyWorkout_Archive[[#This Row],[Workout Date]]))</f>
        <v>1</v>
      </c>
      <c r="V9" s="40" t="b">
        <f>IF(MONTH(MAX(A:A))&gt;1,AND(MONTH(MAX(A:A))=MONTH(MyWorkout_Archive[[#This Row],[Workout Date]])+1,YEAR(MAX(A:A))=YEAR(MyWorkout_Archive[[#This Row],[Workout Date]])),AND(MONTH(MyWorkout_Archive[[#This Row],[Workout Date]])=12,YEAR(MyWorkout_Archive[[#This Row],[Workout Date]])+1=YEAR(MAX(A:A))))</f>
        <v>0</v>
      </c>
      <c r="W9" s="40">
        <f>DAY(MyWorkout_Archive[[#This Row],[Workout Date]])</f>
        <v>0</v>
      </c>
      <c r="X9" s="40" t="e">
        <f>IF(AND(YEAR(MyWorkout_Archive[[#This Row],[Workout Date]])=YEAR(EDATE(MAX(A:A),-2)),MONTH(MyWorkout_Archive[[#This Row],[Workout Date]])=MONTH(EDATE(MAX(A:A),-2))),TRUE(),FALSE())</f>
        <v>#NUM!</v>
      </c>
      <c r="Y9" s="40">
        <f>SUMIFS(H:H,R:R,MyWorkout_Archive[[#This Row],[MonthYear]],U:U,FALSE())</f>
        <v>0</v>
      </c>
    </row>
    <row r="10" spans="1:32" x14ac:dyDescent="0.25">
      <c r="A10" s="1"/>
      <c r="K10" s="7"/>
      <c r="L10" s="40">
        <f>MyWorkout_Archive[[#This Row],[Hours]]*60+MyWorkout_Archive[[#This Row],[Minutes]]</f>
        <v>0</v>
      </c>
      <c r="M10" s="7" t="e">
        <f>IF(A11-MyWorkout_Archive[[#This Row],[Workout Date]]&gt;0,A11-MyWorkout_Archive[[#This Row],[Workout Date]]-1,NA())</f>
        <v>#N/A</v>
      </c>
      <c r="N10" s="40" t="e">
        <f>MyWorkout_Archive[[#This Row],[Minutes]]/SUM(F:F)</f>
        <v>#DIV/0!</v>
      </c>
      <c r="O10" s="40" t="e">
        <f>MyWorkout_Archive[[#This Row],[% Minutes]]*MyWorkout_Archive[[#This Row],[averageSpeed]]</f>
        <v>#DIV/0!</v>
      </c>
      <c r="P10" s="40" t="e">
        <f>MyWorkout_Archive[[#This Row],[% Minutes]]*MyWorkout_Archive[[#This Row],[avgLevel]]</f>
        <v>#DIV/0!</v>
      </c>
      <c r="Q10" s="40" t="e">
        <f>MyWorkout_Archive[[#This Row],[% Minutes]]*MyWorkout_Archive[[#This Row],[avgRpm]]</f>
        <v>#DIV/0!</v>
      </c>
      <c r="R10" s="40" t="str">
        <f>TEXT(MyWorkout_Archive[[#This Row],[Workout Date]],"mmm-yyyy")</f>
        <v>Jan-1900</v>
      </c>
      <c r="S10" s="40">
        <f>SUMIFS(H:H,R:R,MyWorkout_Archive[[#This Row],[MonthYear]],A:A,"&lt;="&amp;MyWorkout_Archive[[#This Row],[Workout Date]])</f>
        <v>0</v>
      </c>
      <c r="T10" s="40">
        <f>COUNTIFS(R:R,MyWorkout_Archive[[#This Row],[MonthYear]],A:A,"&lt;="&amp;MyWorkout_Archive[[#This Row],[Workout Date]])</f>
        <v>0</v>
      </c>
      <c r="U10" s="40" t="b">
        <f>AND(MONTH(MAX(A:A))=MONTH(MyWorkout_Archive[[#This Row],[Workout Date]]),YEAR(MAX(A:A))=YEAR(MyWorkout_Archive[[#This Row],[Workout Date]]))</f>
        <v>1</v>
      </c>
      <c r="V10" s="40" t="b">
        <f>IF(MONTH(MAX(A:A))&gt;1,AND(MONTH(MAX(A:A))=MONTH(MyWorkout_Archive[[#This Row],[Workout Date]])+1,YEAR(MAX(A:A))=YEAR(MyWorkout_Archive[[#This Row],[Workout Date]])),AND(MONTH(MyWorkout_Archive[[#This Row],[Workout Date]])=12,YEAR(MyWorkout_Archive[[#This Row],[Workout Date]])+1=YEAR(MAX(A:A))))</f>
        <v>0</v>
      </c>
      <c r="W10" s="40">
        <f>DAY(MyWorkout_Archive[[#This Row],[Workout Date]])</f>
        <v>0</v>
      </c>
      <c r="X10" s="40" t="e">
        <f>IF(AND(YEAR(MyWorkout_Archive[[#This Row],[Workout Date]])=YEAR(EDATE(MAX(A:A),-2)),MONTH(MyWorkout_Archive[[#This Row],[Workout Date]])=MONTH(EDATE(MAX(A:A),-2))),TRUE(),FALSE())</f>
        <v>#NUM!</v>
      </c>
      <c r="Y10" s="40">
        <f>SUMIFS(H:H,R:R,MyWorkout_Archive[[#This Row],[MonthYear]],U:U,FALSE())</f>
        <v>0</v>
      </c>
    </row>
    <row r="11" spans="1:32" x14ac:dyDescent="0.25">
      <c r="A11" s="1"/>
      <c r="K11" s="7"/>
      <c r="L11" s="40">
        <f>MyWorkout_Archive[[#This Row],[Hours]]*60+MyWorkout_Archive[[#This Row],[Minutes]]</f>
        <v>0</v>
      </c>
      <c r="M11" s="7" t="e">
        <f>IF(A12-MyWorkout_Archive[[#This Row],[Workout Date]]&gt;0,A12-MyWorkout_Archive[[#This Row],[Workout Date]]-1,NA())</f>
        <v>#N/A</v>
      </c>
      <c r="N11" s="40" t="e">
        <f>MyWorkout_Archive[[#This Row],[Minutes]]/SUM(F:F)</f>
        <v>#DIV/0!</v>
      </c>
      <c r="O11" s="40" t="e">
        <f>MyWorkout_Archive[[#This Row],[% Minutes]]*MyWorkout_Archive[[#This Row],[averageSpeed]]</f>
        <v>#DIV/0!</v>
      </c>
      <c r="P11" s="40" t="e">
        <f>MyWorkout_Archive[[#This Row],[% Minutes]]*MyWorkout_Archive[[#This Row],[avgLevel]]</f>
        <v>#DIV/0!</v>
      </c>
      <c r="Q11" s="40" t="e">
        <f>MyWorkout_Archive[[#This Row],[% Minutes]]*MyWorkout_Archive[[#This Row],[avgRpm]]</f>
        <v>#DIV/0!</v>
      </c>
      <c r="R11" s="40" t="str">
        <f>TEXT(MyWorkout_Archive[[#This Row],[Workout Date]],"mmm-yyyy")</f>
        <v>Jan-1900</v>
      </c>
      <c r="S11" s="40">
        <f>SUMIFS(H:H,R:R,MyWorkout_Archive[[#This Row],[MonthYear]],A:A,"&lt;="&amp;MyWorkout_Archive[[#This Row],[Workout Date]])</f>
        <v>0</v>
      </c>
      <c r="T11" s="40">
        <f>COUNTIFS(R:R,MyWorkout_Archive[[#This Row],[MonthYear]],A:A,"&lt;="&amp;MyWorkout_Archive[[#This Row],[Workout Date]])</f>
        <v>0</v>
      </c>
      <c r="U11" s="40" t="b">
        <f>AND(MONTH(MAX(A:A))=MONTH(MyWorkout_Archive[[#This Row],[Workout Date]]),YEAR(MAX(A:A))=YEAR(MyWorkout_Archive[[#This Row],[Workout Date]]))</f>
        <v>1</v>
      </c>
      <c r="V11" s="40" t="b">
        <f>IF(MONTH(MAX(A:A))&gt;1,AND(MONTH(MAX(A:A))=MONTH(MyWorkout_Archive[[#This Row],[Workout Date]])+1,YEAR(MAX(A:A))=YEAR(MyWorkout_Archive[[#This Row],[Workout Date]])),AND(MONTH(MyWorkout_Archive[[#This Row],[Workout Date]])=12,YEAR(MyWorkout_Archive[[#This Row],[Workout Date]])+1=YEAR(MAX(A:A))))</f>
        <v>0</v>
      </c>
      <c r="W11" s="40">
        <f>DAY(MyWorkout_Archive[[#This Row],[Workout Date]])</f>
        <v>0</v>
      </c>
      <c r="X11" s="40" t="e">
        <f>IF(AND(YEAR(MyWorkout_Archive[[#This Row],[Workout Date]])=YEAR(EDATE(MAX(A:A),-2)),MONTH(MyWorkout_Archive[[#This Row],[Workout Date]])=MONTH(EDATE(MAX(A:A),-2))),TRUE(),FALSE())</f>
        <v>#NUM!</v>
      </c>
      <c r="Y11" s="40">
        <f>SUMIFS(H:H,R:R,MyWorkout_Archive[[#This Row],[MonthYear]],U:U,FALSE())</f>
        <v>0</v>
      </c>
    </row>
    <row r="12" spans="1:32" x14ac:dyDescent="0.25">
      <c r="A12" s="1"/>
      <c r="K12" s="7"/>
      <c r="L12" s="40">
        <f>MyWorkout_Archive[[#This Row],[Hours]]*60+MyWorkout_Archive[[#This Row],[Minutes]]</f>
        <v>0</v>
      </c>
      <c r="M12" s="7" t="e">
        <f>IF(A13-MyWorkout_Archive[[#This Row],[Workout Date]]&gt;0,A13-MyWorkout_Archive[[#This Row],[Workout Date]]-1,NA())</f>
        <v>#N/A</v>
      </c>
      <c r="N12" s="40" t="e">
        <f>MyWorkout_Archive[[#This Row],[Minutes]]/SUM(F:F)</f>
        <v>#DIV/0!</v>
      </c>
      <c r="O12" s="40" t="e">
        <f>MyWorkout_Archive[[#This Row],[% Minutes]]*MyWorkout_Archive[[#This Row],[averageSpeed]]</f>
        <v>#DIV/0!</v>
      </c>
      <c r="P12" s="40" t="e">
        <f>MyWorkout_Archive[[#This Row],[% Minutes]]*MyWorkout_Archive[[#This Row],[avgLevel]]</f>
        <v>#DIV/0!</v>
      </c>
      <c r="Q12" s="40" t="e">
        <f>MyWorkout_Archive[[#This Row],[% Minutes]]*MyWorkout_Archive[[#This Row],[avgRpm]]</f>
        <v>#DIV/0!</v>
      </c>
      <c r="R12" s="40" t="str">
        <f>TEXT(MyWorkout_Archive[[#This Row],[Workout Date]],"mmm-yyyy")</f>
        <v>Jan-1900</v>
      </c>
      <c r="S12" s="40">
        <f>SUMIFS(H:H,R:R,MyWorkout_Archive[[#This Row],[MonthYear]],A:A,"&lt;="&amp;MyWorkout_Archive[[#This Row],[Workout Date]])</f>
        <v>0</v>
      </c>
      <c r="T12" s="40">
        <f>COUNTIFS(R:R,MyWorkout_Archive[[#This Row],[MonthYear]],A:A,"&lt;="&amp;MyWorkout_Archive[[#This Row],[Workout Date]])</f>
        <v>0</v>
      </c>
      <c r="U12" s="40" t="b">
        <f>AND(MONTH(MAX(A:A))=MONTH(MyWorkout_Archive[[#This Row],[Workout Date]]),YEAR(MAX(A:A))=YEAR(MyWorkout_Archive[[#This Row],[Workout Date]]))</f>
        <v>1</v>
      </c>
      <c r="V12" s="40" t="b">
        <f>IF(MONTH(MAX(A:A))&gt;1,AND(MONTH(MAX(A:A))=MONTH(MyWorkout_Archive[[#This Row],[Workout Date]])+1,YEAR(MAX(A:A))=YEAR(MyWorkout_Archive[[#This Row],[Workout Date]])),AND(MONTH(MyWorkout_Archive[[#This Row],[Workout Date]])=12,YEAR(MyWorkout_Archive[[#This Row],[Workout Date]])+1=YEAR(MAX(A:A))))</f>
        <v>0</v>
      </c>
      <c r="W12" s="40">
        <f>DAY(MyWorkout_Archive[[#This Row],[Workout Date]])</f>
        <v>0</v>
      </c>
      <c r="X12" s="40" t="e">
        <f>IF(AND(YEAR(MyWorkout_Archive[[#This Row],[Workout Date]])=YEAR(EDATE(MAX(A:A),-2)),MONTH(MyWorkout_Archive[[#This Row],[Workout Date]])=MONTH(EDATE(MAX(A:A),-2))),TRUE(),FALSE())</f>
        <v>#NUM!</v>
      </c>
      <c r="Y12" s="40">
        <f>SUMIFS(H:H,R:R,MyWorkout_Archive[[#This Row],[MonthYear]],U:U,FALSE())</f>
        <v>0</v>
      </c>
    </row>
    <row r="13" spans="1:32" x14ac:dyDescent="0.25">
      <c r="A13" s="1"/>
      <c r="K13" s="7"/>
      <c r="L13" s="40">
        <f>MyWorkout_Archive[[#This Row],[Hours]]*60+MyWorkout_Archive[[#This Row],[Minutes]]</f>
        <v>0</v>
      </c>
      <c r="M13" s="7" t="e">
        <f>IF(A14-MyWorkout_Archive[[#This Row],[Workout Date]]&gt;0,A14-MyWorkout_Archive[[#This Row],[Workout Date]]-1,NA())</f>
        <v>#N/A</v>
      </c>
      <c r="N13" s="40" t="e">
        <f>MyWorkout_Archive[[#This Row],[Minutes]]/SUM(F:F)</f>
        <v>#DIV/0!</v>
      </c>
      <c r="O13" s="40" t="e">
        <f>MyWorkout_Archive[[#This Row],[% Minutes]]*MyWorkout_Archive[[#This Row],[averageSpeed]]</f>
        <v>#DIV/0!</v>
      </c>
      <c r="P13" s="40" t="e">
        <f>MyWorkout_Archive[[#This Row],[% Minutes]]*MyWorkout_Archive[[#This Row],[avgLevel]]</f>
        <v>#DIV/0!</v>
      </c>
      <c r="Q13" s="40" t="e">
        <f>MyWorkout_Archive[[#This Row],[% Minutes]]*MyWorkout_Archive[[#This Row],[avgRpm]]</f>
        <v>#DIV/0!</v>
      </c>
      <c r="R13" s="40" t="str">
        <f>TEXT(MyWorkout_Archive[[#This Row],[Workout Date]],"mmm-yyyy")</f>
        <v>Jan-1900</v>
      </c>
      <c r="S13" s="40">
        <f>SUMIFS(H:H,R:R,MyWorkout_Archive[[#This Row],[MonthYear]],A:A,"&lt;="&amp;MyWorkout_Archive[[#This Row],[Workout Date]])</f>
        <v>0</v>
      </c>
      <c r="T13" s="40">
        <f>COUNTIFS(R:R,MyWorkout_Archive[[#This Row],[MonthYear]],A:A,"&lt;="&amp;MyWorkout_Archive[[#This Row],[Workout Date]])</f>
        <v>0</v>
      </c>
      <c r="U13" s="40" t="b">
        <f>AND(MONTH(MAX(A:A))=MONTH(MyWorkout_Archive[[#This Row],[Workout Date]]),YEAR(MAX(A:A))=YEAR(MyWorkout_Archive[[#This Row],[Workout Date]]))</f>
        <v>1</v>
      </c>
      <c r="V13" s="40" t="b">
        <f>IF(MONTH(MAX(A:A))&gt;1,AND(MONTH(MAX(A:A))=MONTH(MyWorkout_Archive[[#This Row],[Workout Date]])+1,YEAR(MAX(A:A))=YEAR(MyWorkout_Archive[[#This Row],[Workout Date]])),AND(MONTH(MyWorkout_Archive[[#This Row],[Workout Date]])=12,YEAR(MyWorkout_Archive[[#This Row],[Workout Date]])+1=YEAR(MAX(A:A))))</f>
        <v>0</v>
      </c>
      <c r="W13" s="40">
        <f>DAY(MyWorkout_Archive[[#This Row],[Workout Date]])</f>
        <v>0</v>
      </c>
      <c r="X13" s="40" t="e">
        <f>IF(AND(YEAR(MyWorkout_Archive[[#This Row],[Workout Date]])=YEAR(EDATE(MAX(A:A),-2)),MONTH(MyWorkout_Archive[[#This Row],[Workout Date]])=MONTH(EDATE(MAX(A:A),-2))),TRUE(),FALSE())</f>
        <v>#NUM!</v>
      </c>
      <c r="Y13" s="40">
        <f>SUMIFS(H:H,R:R,MyWorkout_Archive[[#This Row],[MonthYear]],U:U,FALSE())</f>
        <v>0</v>
      </c>
    </row>
    <row r="14" spans="1:32" x14ac:dyDescent="0.25">
      <c r="A14" s="1"/>
      <c r="K14" s="7"/>
      <c r="L14" s="40">
        <f>MyWorkout_Archive[[#This Row],[Hours]]*60+MyWorkout_Archive[[#This Row],[Minutes]]</f>
        <v>0</v>
      </c>
      <c r="M14" s="7" t="e">
        <f>IF(A15-MyWorkout_Archive[[#This Row],[Workout Date]]&gt;0,A15-MyWorkout_Archive[[#This Row],[Workout Date]]-1,NA())</f>
        <v>#N/A</v>
      </c>
      <c r="N14" s="40" t="e">
        <f>MyWorkout_Archive[[#This Row],[Minutes]]/SUM(F:F)</f>
        <v>#DIV/0!</v>
      </c>
      <c r="O14" s="40" t="e">
        <f>MyWorkout_Archive[[#This Row],[% Minutes]]*MyWorkout_Archive[[#This Row],[averageSpeed]]</f>
        <v>#DIV/0!</v>
      </c>
      <c r="P14" s="40" t="e">
        <f>MyWorkout_Archive[[#This Row],[% Minutes]]*MyWorkout_Archive[[#This Row],[avgLevel]]</f>
        <v>#DIV/0!</v>
      </c>
      <c r="Q14" s="40" t="e">
        <f>MyWorkout_Archive[[#This Row],[% Minutes]]*MyWorkout_Archive[[#This Row],[avgRpm]]</f>
        <v>#DIV/0!</v>
      </c>
      <c r="R14" s="40" t="str">
        <f>TEXT(MyWorkout_Archive[[#This Row],[Workout Date]],"mmm-yyyy")</f>
        <v>Jan-1900</v>
      </c>
      <c r="S14" s="40">
        <f>SUMIFS(H:H,R:R,MyWorkout_Archive[[#This Row],[MonthYear]],A:A,"&lt;="&amp;MyWorkout_Archive[[#This Row],[Workout Date]])</f>
        <v>0</v>
      </c>
      <c r="T14" s="40">
        <f>COUNTIFS(R:R,MyWorkout_Archive[[#This Row],[MonthYear]],A:A,"&lt;="&amp;MyWorkout_Archive[[#This Row],[Workout Date]])</f>
        <v>0</v>
      </c>
      <c r="U14" s="40" t="b">
        <f>AND(MONTH(MAX(A:A))=MONTH(MyWorkout_Archive[[#This Row],[Workout Date]]),YEAR(MAX(A:A))=YEAR(MyWorkout_Archive[[#This Row],[Workout Date]]))</f>
        <v>1</v>
      </c>
      <c r="V14" s="40" t="b">
        <f>IF(MONTH(MAX(A:A))&gt;1,AND(MONTH(MAX(A:A))=MONTH(MyWorkout_Archive[[#This Row],[Workout Date]])+1,YEAR(MAX(A:A))=YEAR(MyWorkout_Archive[[#This Row],[Workout Date]])),AND(MONTH(MyWorkout_Archive[[#This Row],[Workout Date]])=12,YEAR(MyWorkout_Archive[[#This Row],[Workout Date]])+1=YEAR(MAX(A:A))))</f>
        <v>0</v>
      </c>
      <c r="W14" s="40">
        <f>DAY(MyWorkout_Archive[[#This Row],[Workout Date]])</f>
        <v>0</v>
      </c>
      <c r="X14" s="40" t="e">
        <f>IF(AND(YEAR(MyWorkout_Archive[[#This Row],[Workout Date]])=YEAR(EDATE(MAX(A:A),-2)),MONTH(MyWorkout_Archive[[#This Row],[Workout Date]])=MONTH(EDATE(MAX(A:A),-2))),TRUE(),FALSE())</f>
        <v>#NUM!</v>
      </c>
      <c r="Y14" s="40">
        <f>SUMIFS(H:H,R:R,MyWorkout_Archive[[#This Row],[MonthYear]],U:U,FALSE())</f>
        <v>0</v>
      </c>
    </row>
    <row r="15" spans="1:32" x14ac:dyDescent="0.25">
      <c r="A15" s="1"/>
      <c r="K15" s="7"/>
      <c r="L15" s="40">
        <f>MyWorkout_Archive[[#This Row],[Hours]]*60+MyWorkout_Archive[[#This Row],[Minutes]]</f>
        <v>0</v>
      </c>
      <c r="M15" s="7" t="e">
        <f>IF(A16-MyWorkout_Archive[[#This Row],[Workout Date]]&gt;0,A16-MyWorkout_Archive[[#This Row],[Workout Date]]-1,NA())</f>
        <v>#N/A</v>
      </c>
      <c r="N15" s="40" t="e">
        <f>MyWorkout_Archive[[#This Row],[Minutes]]/SUM(F:F)</f>
        <v>#DIV/0!</v>
      </c>
      <c r="O15" s="40" t="e">
        <f>MyWorkout_Archive[[#This Row],[% Minutes]]*MyWorkout_Archive[[#This Row],[averageSpeed]]</f>
        <v>#DIV/0!</v>
      </c>
      <c r="P15" s="40" t="e">
        <f>MyWorkout_Archive[[#This Row],[% Minutes]]*MyWorkout_Archive[[#This Row],[avgLevel]]</f>
        <v>#DIV/0!</v>
      </c>
      <c r="Q15" s="40" t="e">
        <f>MyWorkout_Archive[[#This Row],[% Minutes]]*MyWorkout_Archive[[#This Row],[avgRpm]]</f>
        <v>#DIV/0!</v>
      </c>
      <c r="R15" s="40" t="str">
        <f>TEXT(MyWorkout_Archive[[#This Row],[Workout Date]],"mmm-yyyy")</f>
        <v>Jan-1900</v>
      </c>
      <c r="S15" s="40">
        <f>SUMIFS(H:H,R:R,MyWorkout_Archive[[#This Row],[MonthYear]],A:A,"&lt;="&amp;MyWorkout_Archive[[#This Row],[Workout Date]])</f>
        <v>0</v>
      </c>
      <c r="T15" s="40">
        <f>COUNTIFS(R:R,MyWorkout_Archive[[#This Row],[MonthYear]],A:A,"&lt;="&amp;MyWorkout_Archive[[#This Row],[Workout Date]])</f>
        <v>0</v>
      </c>
      <c r="U15" s="40" t="b">
        <f>AND(MONTH(MAX(A:A))=MONTH(MyWorkout_Archive[[#This Row],[Workout Date]]),YEAR(MAX(A:A))=YEAR(MyWorkout_Archive[[#This Row],[Workout Date]]))</f>
        <v>1</v>
      </c>
      <c r="V15" s="40" t="b">
        <f>IF(MONTH(MAX(A:A))&gt;1,AND(MONTH(MAX(A:A))=MONTH(MyWorkout_Archive[[#This Row],[Workout Date]])+1,YEAR(MAX(A:A))=YEAR(MyWorkout_Archive[[#This Row],[Workout Date]])),AND(MONTH(MyWorkout_Archive[[#This Row],[Workout Date]])=12,YEAR(MyWorkout_Archive[[#This Row],[Workout Date]])+1=YEAR(MAX(A:A))))</f>
        <v>0</v>
      </c>
      <c r="W15" s="40">
        <f>DAY(MyWorkout_Archive[[#This Row],[Workout Date]])</f>
        <v>0</v>
      </c>
      <c r="X15" s="40" t="e">
        <f>IF(AND(YEAR(MyWorkout_Archive[[#This Row],[Workout Date]])=YEAR(EDATE(MAX(A:A),-2)),MONTH(MyWorkout_Archive[[#This Row],[Workout Date]])=MONTH(EDATE(MAX(A:A),-2))),TRUE(),FALSE())</f>
        <v>#NUM!</v>
      </c>
      <c r="Y15" s="40">
        <f>SUMIFS(H:H,R:R,MyWorkout_Archive[[#This Row],[MonthYear]],U:U,FALSE())</f>
        <v>0</v>
      </c>
    </row>
  </sheetData>
  <phoneticPr fontId="10" type="noConversion"/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3C0117-5F0F-4127-ADE9-8A5132E31A22}">
  <dimension ref="B1:U21"/>
  <sheetViews>
    <sheetView zoomScaleNormal="100" workbookViewId="0">
      <selection activeCell="M5" sqref="M5"/>
    </sheetView>
  </sheetViews>
  <sheetFormatPr defaultColWidth="9.28515625" defaultRowHeight="15.75" customHeight="1" x14ac:dyDescent="0.25"/>
  <cols>
    <col min="1" max="1" width="2.42578125" style="2" customWidth="1"/>
    <col min="2" max="2" width="12.42578125" style="11" bestFit="1" customWidth="1"/>
    <col min="3" max="3" width="7.5703125" style="3" customWidth="1"/>
    <col min="4" max="4" width="1.85546875" style="3" customWidth="1"/>
    <col min="5" max="5" width="17.85546875" style="11" bestFit="1" customWidth="1"/>
    <col min="6" max="6" width="6.140625" style="3" bestFit="1" customWidth="1"/>
    <col min="7" max="7" width="1.85546875" style="3" customWidth="1"/>
    <col min="8" max="9" width="9.28515625" style="3"/>
    <col min="10" max="10" width="7.28515625" style="2" customWidth="1"/>
    <col min="11" max="11" width="18.28515625" style="2" bestFit="1" customWidth="1"/>
    <col min="12" max="12" width="9.28515625" style="2"/>
    <col min="13" max="13" width="10.28515625" style="2" bestFit="1" customWidth="1"/>
    <col min="14" max="14" width="2.85546875" style="2" customWidth="1"/>
    <col min="15" max="15" width="12" style="2" customWidth="1"/>
    <col min="16" max="16" width="19.28515625" style="2" bestFit="1" customWidth="1"/>
    <col min="17" max="17" width="15.5703125" style="2" bestFit="1" customWidth="1"/>
    <col min="18" max="18" width="11.7109375" style="2" customWidth="1"/>
    <col min="19" max="19" width="11" style="2" bestFit="1" customWidth="1"/>
    <col min="20" max="16384" width="9.28515625" style="2"/>
  </cols>
  <sheetData>
    <row r="1" spans="2:21" s="30" customFormat="1" ht="36.75" customHeight="1" x14ac:dyDescent="0.25">
      <c r="B1" s="25" t="s">
        <v>19</v>
      </c>
      <c r="C1" s="26"/>
      <c r="D1" s="27"/>
      <c r="E1" s="25" t="s">
        <v>12</v>
      </c>
      <c r="F1" s="28"/>
      <c r="G1" s="29"/>
      <c r="H1" s="25" t="s">
        <v>21</v>
      </c>
      <c r="I1" s="28"/>
      <c r="K1" s="25" t="s">
        <v>27</v>
      </c>
      <c r="L1" s="31" t="s">
        <v>26</v>
      </c>
      <c r="M1" s="31" t="s">
        <v>29</v>
      </c>
      <c r="O1" s="35" t="s">
        <v>38</v>
      </c>
      <c r="P1" s="33"/>
      <c r="Q1" s="34"/>
      <c r="R1" s="34"/>
      <c r="T1" s="32"/>
      <c r="U1" s="32"/>
    </row>
    <row r="2" spans="2:21" ht="15.75" customHeight="1" x14ac:dyDescent="0.3">
      <c r="B2" s="16" t="s">
        <v>5</v>
      </c>
      <c r="C2" s="19">
        <f>SUM(Workouts!L:L)</f>
        <v>0</v>
      </c>
      <c r="D2" s="6"/>
      <c r="E2" s="16" t="s">
        <v>5</v>
      </c>
      <c r="F2" s="21">
        <f>IFERROR(AVERAGE(Workouts!L:L),0)</f>
        <v>0</v>
      </c>
      <c r="H2" s="16" t="s">
        <v>13</v>
      </c>
      <c r="I2" s="21" t="str">
        <f>IFERROR(SUM(Workouts!O:O),"")</f>
        <v/>
      </c>
      <c r="K2" s="16" t="s">
        <v>28</v>
      </c>
      <c r="L2" s="36">
        <f>MAX(Workouts!L:L)</f>
        <v>0</v>
      </c>
      <c r="M2" s="37">
        <f>IF(L2=0,0,COUNTIFS(Workouts!L:L,'Workout Dashboard'!L2))</f>
        <v>0</v>
      </c>
      <c r="O2" s="22" t="str">
        <f>IF(L2=0,"",INDEX(Workouts!R:R,MATCH(Workouts!AF2,Workouts!Y:Y,0),1))</f>
        <v/>
      </c>
      <c r="P2" s="22"/>
      <c r="Q2" s="24"/>
      <c r="R2" s="18"/>
      <c r="T2" s="3"/>
      <c r="U2" s="3"/>
    </row>
    <row r="3" spans="2:21" ht="15.75" customHeight="1" x14ac:dyDescent="0.3">
      <c r="B3" s="16" t="s">
        <v>20</v>
      </c>
      <c r="C3" s="19">
        <f>SUM(Workouts!B:B)</f>
        <v>0</v>
      </c>
      <c r="D3" s="17"/>
      <c r="E3" s="16" t="s">
        <v>20</v>
      </c>
      <c r="F3" s="21">
        <f>IFERROR(AVERAGE(Workouts!B:B),0)</f>
        <v>0</v>
      </c>
      <c r="G3" s="2"/>
      <c r="H3" s="16" t="s">
        <v>16</v>
      </c>
      <c r="I3" s="21" t="str">
        <f>IFERROR(SUM(Workouts!Q:Q),"")</f>
        <v/>
      </c>
      <c r="K3" s="16" t="s">
        <v>20</v>
      </c>
      <c r="L3" s="37">
        <f>MAX(MyWorkout_Archive[distance])</f>
        <v>0</v>
      </c>
      <c r="M3" s="37">
        <f>COUNTIFS(Workouts!B:B,'Workout Dashboard'!L3)</f>
        <v>0</v>
      </c>
      <c r="O3" s="18"/>
      <c r="P3" s="23"/>
      <c r="Q3" s="18"/>
      <c r="R3" s="18"/>
      <c r="T3" s="3"/>
      <c r="U3" s="3"/>
    </row>
    <row r="4" spans="2:21" ht="15.75" customHeight="1" x14ac:dyDescent="0.3">
      <c r="B4" s="16" t="s">
        <v>17</v>
      </c>
      <c r="C4" s="20">
        <f>SUM(Workouts!H:H)</f>
        <v>0</v>
      </c>
      <c r="D4" s="17"/>
      <c r="E4" s="16" t="s">
        <v>17</v>
      </c>
      <c r="F4" s="21">
        <f>IFERROR(C4/C5,0)</f>
        <v>0</v>
      </c>
      <c r="G4" s="2"/>
      <c r="H4" s="16" t="s">
        <v>14</v>
      </c>
      <c r="I4" s="21" t="str">
        <f>IFERROR(SUM(Workouts!P:P),"")</f>
        <v/>
      </c>
      <c r="K4" s="16" t="s">
        <v>17</v>
      </c>
      <c r="L4" s="37">
        <f>MAX(Workouts!H:H)</f>
        <v>0</v>
      </c>
      <c r="M4" s="37">
        <f>COUNTIFS(Workouts!H:H,'Workout Dashboard'!L4)</f>
        <v>0</v>
      </c>
      <c r="O4" s="3"/>
      <c r="P4" s="11"/>
      <c r="Q4" s="18"/>
      <c r="R4" s="18"/>
      <c r="S4" s="18"/>
      <c r="T4" s="3"/>
      <c r="U4" s="3"/>
    </row>
    <row r="5" spans="2:21" ht="15.75" customHeight="1" x14ac:dyDescent="0.3">
      <c r="B5" s="16" t="s">
        <v>11</v>
      </c>
      <c r="C5" s="19">
        <f>COUNTA(Workouts!A:A)-1</f>
        <v>0</v>
      </c>
      <c r="D5" s="17"/>
      <c r="E5" s="16" t="s">
        <v>18</v>
      </c>
      <c r="F5" s="21" t="str">
        <f>IFERROR(SUMIFS(Workouts!M:M,Workouts!M:M,"&gt;"&amp;0)/COUNTIFS(Workouts!M:M,"&gt;"&amp;0),"")</f>
        <v/>
      </c>
      <c r="G5" s="2"/>
      <c r="H5" s="2"/>
      <c r="N5" s="3"/>
      <c r="O5" s="3"/>
      <c r="P5" s="11"/>
      <c r="Q5" s="18"/>
      <c r="R5" s="18"/>
      <c r="S5" s="18"/>
      <c r="T5" s="3"/>
      <c r="U5" s="3"/>
    </row>
    <row r="7" spans="2:21" ht="21.75" customHeight="1" x14ac:dyDescent="0.45">
      <c r="B7" s="12"/>
      <c r="C7" s="2"/>
      <c r="D7" s="2"/>
      <c r="E7" s="2"/>
      <c r="F7" s="2"/>
      <c r="G7" s="2"/>
      <c r="H7" s="2"/>
    </row>
    <row r="8" spans="2:21" ht="15.75" customHeight="1" x14ac:dyDescent="0.25">
      <c r="B8" s="10"/>
      <c r="C8" s="2"/>
      <c r="D8" s="2"/>
      <c r="E8" s="2"/>
      <c r="F8" s="2"/>
      <c r="H8" s="2"/>
    </row>
    <row r="9" spans="2:21" ht="15.75" customHeight="1" x14ac:dyDescent="0.25">
      <c r="E9" s="2"/>
      <c r="F9" s="2"/>
    </row>
    <row r="10" spans="2:21" ht="15.75" customHeight="1" x14ac:dyDescent="0.3">
      <c r="C10" s="4"/>
      <c r="E10" s="2"/>
      <c r="F10" s="2"/>
    </row>
    <row r="11" spans="2:21" ht="15.75" customHeight="1" x14ac:dyDescent="0.25">
      <c r="C11" s="5"/>
      <c r="F11" s="15"/>
    </row>
    <row r="12" spans="2:21" ht="15.75" customHeight="1" x14ac:dyDescent="0.3">
      <c r="C12" s="4"/>
    </row>
    <row r="13" spans="2:21" ht="15.75" customHeight="1" x14ac:dyDescent="0.25">
      <c r="C13" s="5"/>
    </row>
    <row r="14" spans="2:21" ht="15.75" customHeight="1" x14ac:dyDescent="0.3">
      <c r="C14" s="4"/>
    </row>
    <row r="15" spans="2:21" ht="15.75" customHeight="1" x14ac:dyDescent="0.25">
      <c r="B15" s="2"/>
      <c r="C15" s="5"/>
    </row>
    <row r="16" spans="2:21" ht="15.75" customHeight="1" x14ac:dyDescent="0.25">
      <c r="B16" s="10"/>
      <c r="C16" s="2"/>
    </row>
    <row r="19" spans="4:8" ht="15.75" customHeight="1" x14ac:dyDescent="0.45">
      <c r="D19" s="8"/>
      <c r="E19" s="13"/>
      <c r="F19" s="8"/>
      <c r="G19" s="8"/>
      <c r="H19" s="8"/>
    </row>
    <row r="20" spans="4:8" ht="15.75" customHeight="1" x14ac:dyDescent="0.3">
      <c r="D20" s="4"/>
      <c r="E20" s="14"/>
      <c r="F20" s="6"/>
    </row>
    <row r="21" spans="4:8" ht="15.75" customHeight="1" x14ac:dyDescent="0.25">
      <c r="D21" s="5"/>
      <c r="E21" s="9"/>
      <c r="F21" s="5"/>
    </row>
  </sheetData>
  <pageMargins left="0.7" right="0.7" top="0.75" bottom="0.75" header="0.3" footer="0.3"/>
  <pageSetup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098A3F-7825-4132-ACA5-1119217D03AD}">
  <sheetPr>
    <tabColor theme="1"/>
  </sheetPr>
  <dimension ref="A1:A23"/>
  <sheetViews>
    <sheetView tabSelected="1" zoomScale="80" zoomScaleNormal="80" workbookViewId="0">
      <selection activeCell="J6" sqref="J6"/>
    </sheetView>
  </sheetViews>
  <sheetFormatPr defaultRowHeight="15" x14ac:dyDescent="0.25"/>
  <cols>
    <col min="1" max="16384" width="9.140625" style="38"/>
  </cols>
  <sheetData>
    <row r="1" spans="1:1" ht="21" x14ac:dyDescent="0.35">
      <c r="A1" s="39" t="s">
        <v>51</v>
      </c>
    </row>
    <row r="2" spans="1:1" x14ac:dyDescent="0.25">
      <c r="A2" s="38" t="s">
        <v>42</v>
      </c>
    </row>
    <row r="3" spans="1:1" x14ac:dyDescent="0.25">
      <c r="A3" s="38" t="s">
        <v>53</v>
      </c>
    </row>
    <row r="4" spans="1:1" x14ac:dyDescent="0.25">
      <c r="A4" s="38" t="s">
        <v>52</v>
      </c>
    </row>
    <row r="11" spans="1:1" x14ac:dyDescent="0.25">
      <c r="A11" s="38" t="s">
        <v>47</v>
      </c>
    </row>
    <row r="12" spans="1:1" x14ac:dyDescent="0.25">
      <c r="A12" s="38" t="s">
        <v>43</v>
      </c>
    </row>
    <row r="13" spans="1:1" x14ac:dyDescent="0.25">
      <c r="A13" s="38" t="s">
        <v>44</v>
      </c>
    </row>
    <row r="19" spans="1:1" x14ac:dyDescent="0.25">
      <c r="A19" s="38" t="s">
        <v>45</v>
      </c>
    </row>
    <row r="20" spans="1:1" x14ac:dyDescent="0.25">
      <c r="A20" s="38" t="s">
        <v>46</v>
      </c>
    </row>
    <row r="21" spans="1:1" x14ac:dyDescent="0.25">
      <c r="A21" s="38" t="s">
        <v>48</v>
      </c>
    </row>
    <row r="22" spans="1:1" x14ac:dyDescent="0.25">
      <c r="A22" s="38" t="s">
        <v>49</v>
      </c>
    </row>
    <row r="23" spans="1:1" x14ac:dyDescent="0.25">
      <c r="A23" s="38" t="s">
        <v>50</v>
      </c>
    </row>
  </sheetData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5F41E7-2A10-4816-8EBC-F6417AB2512E}">
  <dimension ref="B1:B2"/>
  <sheetViews>
    <sheetView workbookViewId="0">
      <selection activeCell="B1" sqref="B1"/>
    </sheetView>
  </sheetViews>
  <sheetFormatPr defaultRowHeight="15" x14ac:dyDescent="0.25"/>
  <cols>
    <col min="2" max="2" width="11.7109375" customWidth="1"/>
  </cols>
  <sheetData>
    <row r="1" spans="2:2" x14ac:dyDescent="0.25">
      <c r="B1" t="s">
        <v>41</v>
      </c>
    </row>
    <row r="2" spans="2:2" x14ac:dyDescent="0.25">
      <c r="B2" t="str">
        <f ca="1">LEFT(CELL("filename",$A$1),FIND("[",CELL("filename",$A$1),1)-1)</f>
        <v>C:\Users\joshg\Desktop\MyWorkouts Post\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3565C9F1-7A62-4CD0-8E18-0854C98015A7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Workouts</vt:lpstr>
      <vt:lpstr>Workout Dashboard</vt:lpstr>
      <vt:lpstr>Instructions</vt:lpstr>
      <vt:lpstr>FilePath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Josh Graham</dc:creator>
  <cp:lastModifiedBy>Josh Graham</cp:lastModifiedBy>
  <dcterms:created xsi:type="dcterms:W3CDTF">2023-10-16T14:37:30Z</dcterms:created>
  <dcterms:modified xsi:type="dcterms:W3CDTF">2023-12-22T04:07:35Z</dcterms:modified>
</cp:coreProperties>
</file>